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5_0.bin" ContentType="application/vnd.openxmlformats-officedocument.oleObject"/>
  <Override PartName="/xl/embeddings/oleObject_25_1.bin" ContentType="application/vnd.openxmlformats-officedocument.oleObject"/>
  <Override PartName="/xl/embeddings/oleObject_25_2.bin" ContentType="application/vnd.openxmlformats-officedocument.oleObject"/>
  <Override PartName="/xl/embeddings/oleObject_25_3.bin" ContentType="application/vnd.openxmlformats-officedocument.oleObject"/>
  <Override PartName="/xl/embeddings/oleObject_25_4.bin" ContentType="application/vnd.openxmlformats-officedocument.oleObject"/>
  <Override PartName="/xl/embeddings/oleObject_25_5.bin" ContentType="application/vnd.openxmlformats-officedocument.oleObject"/>
  <Override PartName="/xl/embeddings/oleObject_25_6.bin" ContentType="application/vnd.openxmlformats-officedocument.oleObject"/>
  <Override PartName="/xl/embeddings/oleObject_25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0" windowWidth="7905" windowHeight="3525" tabRatio="967" activeTab="0"/>
  </bookViews>
  <sheets>
    <sheet name="Início" sheetId="1" r:id="rId1"/>
    <sheet name="Menu" sheetId="2" r:id="rId2"/>
    <sheet name="JS  VF" sheetId="3" r:id="rId3"/>
    <sheet name="JS VP" sheetId="4" r:id="rId4"/>
    <sheet name="JS N" sheetId="5" r:id="rId5"/>
    <sheet name="JS I" sheetId="6" r:id="rId6"/>
    <sheet name="DB VF" sheetId="7" r:id="rId7"/>
    <sheet name="DB VP" sheetId="8" r:id="rId8"/>
    <sheet name="DB N" sheetId="9" r:id="rId9"/>
    <sheet name="DB I" sheetId="10" r:id="rId10"/>
    <sheet name="JC VF" sheetId="11" r:id="rId11"/>
    <sheet name="JC VP" sheetId="12" r:id="rId12"/>
    <sheet name="JC N" sheetId="13" r:id="rId13"/>
    <sheet name="JC I" sheetId="14" r:id="rId14"/>
    <sheet name="SÉRIE PMT" sheetId="15" r:id="rId15"/>
    <sheet name="SÉRIE VF" sheetId="16" r:id="rId16"/>
    <sheet name="SÉRIE VP" sheetId="17" r:id="rId17"/>
    <sheet name="SÉRIE N" sheetId="18" r:id="rId18"/>
    <sheet name="SÉRIE I" sheetId="19" r:id="rId19"/>
    <sheet name="Ser-Price" sheetId="20" r:id="rId20"/>
    <sheet name="Ser-Sac" sheetId="21" r:id="rId21"/>
    <sheet name="Não Uniforme" sheetId="22" r:id="rId22"/>
    <sheet name="T Desiguais" sheetId="23" r:id="rId23"/>
    <sheet name="Geral" sheetId="24" r:id="rId24"/>
    <sheet name="Continua" sheetId="25" r:id="rId25"/>
    <sheet name="MatFinanc" sheetId="26" r:id="rId26"/>
    <sheet name="Autor" sheetId="27" r:id="rId27"/>
    <sheet name="OutrasFunções" sheetId="28" r:id="rId28"/>
  </sheets>
  <definedNames>
    <definedName name="Ar_Price" localSheetId="21">'Não Uniforme'!#REF!</definedName>
    <definedName name="Ar_Price" localSheetId="20">'Ser-Sac'!$D$6:$D$9</definedName>
    <definedName name="Ar_Price" localSheetId="22">'T Desiguais'!#REF!</definedName>
    <definedName name="Ar_Price">'Ser-Price'!$D$6:$D$9</definedName>
    <definedName name="Ar_SAC" localSheetId="21">'Não Uniforme'!#REF!</definedName>
    <definedName name="Ar_SAC" localSheetId="22">'T Desiguais'!#REF!</definedName>
    <definedName name="Ar_SAC">'Ser-Sac'!$D$6:$D$9</definedName>
    <definedName name="Area_Price" localSheetId="21">'Não Uniforme'!$B$10:$C$89</definedName>
    <definedName name="Area_Price" localSheetId="20">'Ser-Sac'!$B$13:$G$92</definedName>
    <definedName name="Area_Price" localSheetId="22">'T Desiguais'!$B$10:$C$89</definedName>
    <definedName name="Area_Price">'Ser-Price'!$B$13:$G$92</definedName>
    <definedName name="Area_t_desigais">'T Desiguais'!$B$10:$C$89</definedName>
    <definedName name="Autor">'Autor'!$B$1</definedName>
    <definedName name="calcfin">'Geral'!$B$5</definedName>
    <definedName name="CalFinBas">'Geral'!$C$7:$H$7</definedName>
    <definedName name="contdias">'Geral'!$B$19:$E$19</definedName>
    <definedName name="DBI">'DB I'!$C$1</definedName>
    <definedName name="DBN">'DB N'!$C$1</definedName>
    <definedName name="DBVF">'DB VF'!$C$1</definedName>
    <definedName name="DBVP">'DB VP'!$C$1</definedName>
    <definedName name="EquiTaxas">'Geral'!$B$14:$E$14</definedName>
    <definedName name="feri">'Geral'!$B$36</definedName>
    <definedName name="feriados">'Geral'!$B$37:$H$50</definedName>
    <definedName name="formula">'Geral'!$C$54:$G$56</definedName>
    <definedName name="Geral">'Geral'!$B$2</definedName>
    <definedName name="Gra_price" localSheetId="21">'Não Uniforme'!$B$92</definedName>
    <definedName name="Gra_price" localSheetId="20">'Ser-Sac'!$B$95</definedName>
    <definedName name="Gra_price" localSheetId="22">'T Desiguais'!$B$92</definedName>
    <definedName name="Gra_price">'Ser-Price'!$B$95</definedName>
    <definedName name="Gra_Sac" localSheetId="21">'Não Uniforme'!$B$92</definedName>
    <definedName name="Gra_Sac" localSheetId="22">'T Desiguais'!$B$92</definedName>
    <definedName name="Gra_Sac">'Ser-Sac'!$B$95</definedName>
    <definedName name="GrafPrice">'Ser-Price'!$B$98:$G$110</definedName>
    <definedName name="Inicial">'Início'!$E$12</definedName>
    <definedName name="JCI">'JC I'!$C$1</definedName>
    <definedName name="JCN">'JC N'!$C$1</definedName>
    <definedName name="JCVF">'JC VF'!$C$1</definedName>
    <definedName name="JCVP">'JC VP'!$C$1</definedName>
    <definedName name="JSI">'JS I'!$C$1</definedName>
    <definedName name="JSN">'JS N'!$C$1</definedName>
    <definedName name="JSVF">'JS  VF'!$C$1</definedName>
    <definedName name="JSVP">'JS VP'!$C$1</definedName>
    <definedName name="k_desgual">'T Desiguais'!$C$6</definedName>
    <definedName name="MatFin">'MatFinanc'!$B$2</definedName>
    <definedName name="Menu">'Menu'!$C$2</definedName>
    <definedName name="Menu1">'Início'!$A$1:$L$19</definedName>
    <definedName name="Menu2">'Menu'!$B$1:$L$21</definedName>
    <definedName name="menuinicial">'Início'!$A$1</definedName>
    <definedName name="ModeloGeral">'Geral'!$A$1:$I$15</definedName>
    <definedName name="ModeloGeralDatas">'Geral'!$B$16:$F$24</definedName>
    <definedName name="ModeloGeralDias">'Geral'!$B$17:$E$23</definedName>
    <definedName name="ModeloGeralFeriados">'Geral'!$B$36:$H$50</definedName>
    <definedName name="ModeloGeralTaxas">'Geral'!$B$12:$E$15</definedName>
    <definedName name="Nao_Uniforme" localSheetId="22">'T Desiguais'!$C$10:$C$89,'T Desiguais'!$C$6</definedName>
    <definedName name="Nao_Uniforme">'Não Uniforme'!$C$10:$C$89,'Não Uniforme'!$C$6</definedName>
    <definedName name="outrasf">'OutrasFunções'!$B$2</definedName>
    <definedName name="Price" localSheetId="21">'Não Uniforme'!$B$4</definedName>
    <definedName name="Price" localSheetId="20">'Ser-Sac'!$B$4</definedName>
    <definedName name="Price" localSheetId="22">'T Desiguais'!$B$4</definedName>
    <definedName name="Price">'Ser-Price'!$B$4</definedName>
    <definedName name="S_N_U" localSheetId="22">'T Desiguais'!$B$4</definedName>
    <definedName name="S_N_U">'Não Uniforme'!$B$4</definedName>
    <definedName name="SAC" localSheetId="21">'Não Uniforme'!$B$4</definedName>
    <definedName name="SAC" localSheetId="22">'T Desiguais'!$B$4</definedName>
    <definedName name="SAC">'Ser-Sac'!$B$4</definedName>
    <definedName name="SAC2">'Ser-Sac'!$B$2:$G$19</definedName>
    <definedName name="SI">'SÉRIE I'!$C$1</definedName>
    <definedName name="SN">'SÉRIE N'!$C$1</definedName>
    <definedName name="SNUTD">'T Desiguais'!$B$2:$G$19</definedName>
    <definedName name="SNUTI">'Não Uniforme'!$B$4:$G$23</definedName>
    <definedName name="SPMT">'SÉRIE PMT'!$C$1</definedName>
    <definedName name="SVF">'SÉRIE VF'!$C$1</definedName>
    <definedName name="SVP">'SÉRIE VP'!$C$1</definedName>
    <definedName name="t_desiguais">'T Desiguais'!$A$1</definedName>
  </definedNames>
  <calcPr fullCalcOnLoad="1"/>
</workbook>
</file>

<file path=xl/comments24.xml><?xml version="1.0" encoding="utf-8"?>
<comments xmlns="http://schemas.openxmlformats.org/spreadsheetml/2006/main">
  <authors>
    <author>Adriano Leal Bruni</author>
  </authors>
  <commentList>
    <comment ref="H7" authorId="0">
      <text>
        <r>
          <rPr>
            <b/>
            <sz val="8"/>
            <rFont val="Tahoma"/>
            <family val="0"/>
          </rPr>
          <t xml:space="preserve">Tipo: 0 = postecipado, sem entrada, 1 = antecipado, com entrada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Tipos de juros : 1 = simples, 2 = desconto comercial, 3 = compostos
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Número de períodos de capitalização
</t>
        </r>
      </text>
    </comment>
    <comment ref="D7" authorId="0">
      <text>
        <r>
          <rPr>
            <b/>
            <sz val="8"/>
            <rFont val="Tahoma"/>
            <family val="0"/>
          </rPr>
          <t>Taxa de juros ao período.</t>
        </r>
      </text>
    </comment>
    <comment ref="E7" authorId="0">
      <text>
        <r>
          <rPr>
            <b/>
            <sz val="8"/>
            <rFont val="Tahoma"/>
            <family val="0"/>
          </rPr>
          <t>Valor presente da operação.</t>
        </r>
      </text>
    </comment>
    <comment ref="F7" authorId="0">
      <text>
        <r>
          <rPr>
            <b/>
            <sz val="8"/>
            <rFont val="Tahoma"/>
            <family val="0"/>
          </rPr>
          <t>Valor da prestação.</t>
        </r>
      </text>
    </comment>
    <comment ref="G7" authorId="0">
      <text>
        <r>
          <rPr>
            <b/>
            <sz val="8"/>
            <rFont val="Tahoma"/>
            <family val="0"/>
          </rPr>
          <t>Valor futuro da operação.</t>
        </r>
      </text>
    </comment>
  </commentList>
</comments>
</file>

<file path=xl/sharedStrings.xml><?xml version="1.0" encoding="utf-8"?>
<sst xmlns="http://schemas.openxmlformats.org/spreadsheetml/2006/main" count="476" uniqueCount="249">
  <si>
    <t>N</t>
  </si>
  <si>
    <t>I</t>
  </si>
  <si>
    <t>PV</t>
  </si>
  <si>
    <t>PMT</t>
  </si>
  <si>
    <t>FV</t>
  </si>
  <si>
    <t>TIPO</t>
  </si>
  <si>
    <t>?</t>
  </si>
  <si>
    <t>Taxa A</t>
  </si>
  <si>
    <t>Nper A</t>
  </si>
  <si>
    <t>Taxa B</t>
  </si>
  <si>
    <t>Nper B</t>
  </si>
  <si>
    <t>Cálculos Financeiros Básicos</t>
  </si>
  <si>
    <t>Equivalência de Taxas</t>
  </si>
  <si>
    <t>VP</t>
  </si>
  <si>
    <t>VF</t>
  </si>
  <si>
    <t>Tipo</t>
  </si>
  <si>
    <t>Cálculo de VF -----------------------------------------&gt;</t>
  </si>
  <si>
    <t>Observação :</t>
  </si>
  <si>
    <t>Células verdes devem ser, por enquanto, desconsideradas.</t>
  </si>
  <si>
    <t>Cálculo de VP -----------------------------------------&gt;</t>
  </si>
  <si>
    <t>Cálculo de N  -----------------------------------------&gt;</t>
  </si>
  <si>
    <t>Cálculo de I  -----------------------------------------&gt;</t>
  </si>
  <si>
    <t>Fórmula : =PGTO(E3;D3;C3;G3;H3)</t>
  </si>
  <si>
    <t>Cálculo de PMT  -----------------------------------------&gt;</t>
  </si>
  <si>
    <t>Fórmula : =TAXA(D3;F3;C3;G3;H3)</t>
  </si>
  <si>
    <t>Cálculo de I (PMT)  -----------------------------------------&gt;</t>
  </si>
  <si>
    <t>Cálculo de VF (PMT)  -----------------------------------------&gt;</t>
  </si>
  <si>
    <t>Fórmula : =VF(E3;D3;F3;C3;H3)</t>
  </si>
  <si>
    <t>Fórmula : =VP(E3;D3;F3;G3;H3)</t>
  </si>
  <si>
    <t>Cálculo de VP (PMT)  -----------------------------------------&gt;</t>
  </si>
  <si>
    <t>Cálculo de N (PMT)  -----------------------------------------&gt;</t>
  </si>
  <si>
    <t>Fórmula : =NPER(E3;F3;C3;G3;H3)</t>
  </si>
  <si>
    <t>Juros Simples</t>
  </si>
  <si>
    <t>Juros Compostos</t>
  </si>
  <si>
    <r>
      <t>Tipo :</t>
    </r>
    <r>
      <rPr>
        <b/>
        <i/>
        <sz val="12"/>
        <color indexed="12"/>
        <rFont val="Arial"/>
        <family val="2"/>
      </rPr>
      <t xml:space="preserve"> 0 = postecipado, sem entrada</t>
    </r>
  </si>
  <si>
    <t>Juros Compostos - Séries Uniformes</t>
  </si>
  <si>
    <t>Planilha MATFIN.XLS</t>
  </si>
  <si>
    <t>Aplicando Matemática Financeira no Excel</t>
  </si>
  <si>
    <t>Menu para navegação na MATFIN.XLS</t>
  </si>
  <si>
    <t>Clique sobre a opção desejada</t>
  </si>
  <si>
    <t>Juros Simples : cálculo de :</t>
  </si>
  <si>
    <t>Desconto Bancário : cálculo de :</t>
  </si>
  <si>
    <t>Juros Compostos : cálculo de :</t>
  </si>
  <si>
    <t xml:space="preserve">E-Mail : </t>
  </si>
  <si>
    <t>albruni@hotmail.com</t>
  </si>
  <si>
    <t>Home-Page :</t>
  </si>
  <si>
    <t>http://albruni.tripod.com</t>
  </si>
  <si>
    <r>
      <t xml:space="preserve">Adriano Leal Bruni, </t>
    </r>
    <r>
      <rPr>
        <b/>
        <i/>
        <sz val="14"/>
        <color indexed="12"/>
        <rFont val="Arial"/>
        <family val="2"/>
      </rPr>
      <t>M.Sc.</t>
    </r>
  </si>
  <si>
    <t>Fórmula : =-C3/((1-E3*D3))</t>
  </si>
  <si>
    <t>Desconto Bancário</t>
  </si>
  <si>
    <t>Fórmula : =-G3*(1-D3*E3)</t>
  </si>
  <si>
    <t>Cálculo de N -----------------------------------------&gt;</t>
  </si>
  <si>
    <t>Fórmula : =(1-(-C3/G3))/E3</t>
  </si>
  <si>
    <t>Fórmula : =(1-(-C3/G3))/D3</t>
  </si>
  <si>
    <t>Opção :</t>
  </si>
  <si>
    <t>1 - Juros Simples</t>
  </si>
  <si>
    <t>2  - Desconto Bancário</t>
  </si>
  <si>
    <t>3 - Juros Compostos</t>
  </si>
  <si>
    <t>Coloque um "?" no valor que deseja obter.</t>
  </si>
  <si>
    <t>Não tem</t>
  </si>
  <si>
    <t>Séries de Pagamento</t>
  </si>
  <si>
    <t>Período</t>
  </si>
  <si>
    <t>Saldo</t>
  </si>
  <si>
    <t>Inicial</t>
  </si>
  <si>
    <t>Pagamento</t>
  </si>
  <si>
    <t>Juros</t>
  </si>
  <si>
    <t>Amortização</t>
  </si>
  <si>
    <t>Total</t>
  </si>
  <si>
    <t>Final</t>
  </si>
  <si>
    <t>Price - Prestações Iguais</t>
  </si>
  <si>
    <t>N máximo</t>
  </si>
  <si>
    <t>Pagamento : Juros e Amortização</t>
  </si>
  <si>
    <r>
      <t xml:space="preserve">Gráficos </t>
    </r>
    <r>
      <rPr>
        <b/>
        <sz val="16"/>
        <color indexed="10"/>
        <rFont val="Arial"/>
        <family val="2"/>
      </rPr>
      <t>(a ser melhorado em breve !!!)</t>
    </r>
  </si>
  <si>
    <t>Valor Presente</t>
  </si>
  <si>
    <t>Carência (m+1)</t>
  </si>
  <si>
    <t>Taxa ao período (%)</t>
  </si>
  <si>
    <t>Número de Pagamentos</t>
  </si>
  <si>
    <t>SAC - Amortizações Constantes</t>
  </si>
  <si>
    <t>Séries Uniformes</t>
  </si>
  <si>
    <t>Sistemas de Pagamento :</t>
  </si>
  <si>
    <t>Séries Não Uniformes :</t>
  </si>
  <si>
    <t>Séries Não Uniformes</t>
  </si>
  <si>
    <t xml:space="preserve">Fluxo de </t>
  </si>
  <si>
    <t>Caixa</t>
  </si>
  <si>
    <t>VPL</t>
  </si>
  <si>
    <t>TIR</t>
  </si>
  <si>
    <t>k</t>
  </si>
  <si>
    <t>Fluxo de Caixa</t>
  </si>
  <si>
    <t>Modelo Geral de Matemática Financeira</t>
  </si>
  <si>
    <t>i</t>
  </si>
  <si>
    <t>Contagem de dias</t>
  </si>
  <si>
    <t>Início</t>
  </si>
  <si>
    <t>Fim</t>
  </si>
  <si>
    <t>Séries Não Uniformes - Tempos Desiguais</t>
  </si>
  <si>
    <t>Caixa (VF)</t>
  </si>
  <si>
    <t>Caixa (VP)</t>
  </si>
  <si>
    <t>Soma VP</t>
  </si>
  <si>
    <t>Fórmula : H5 =((-G3/C3)-1)/E3</t>
  </si>
  <si>
    <t>Fórmula : H5 =-G3/(1+E3*D3)</t>
  </si>
  <si>
    <t>Fórmula : H5 =-C3*(1+E3*D3)</t>
  </si>
  <si>
    <t>Fórmula : H5 =((-G3/C3)-1)/D3</t>
  </si>
  <si>
    <t>Fórmula : H5 =VF(E3;D3;;C3;)</t>
  </si>
  <si>
    <t>Fórmula : H5 =VP(E3;D3;;G3)</t>
  </si>
  <si>
    <t>Fórmula : H5 =NPER(E3;;C3;G3)</t>
  </si>
  <si>
    <t>Fórmula : H5 =TAXA(D3;;C3;G3)</t>
  </si>
  <si>
    <t>(Não Mexa !!!)</t>
  </si>
  <si>
    <t>Último feriado fornecido =</t>
  </si>
  <si>
    <t xml:space="preserve">            1 = antecipado, com entrada</t>
  </si>
  <si>
    <t>Cálculos na HP 12C - Não Mexa Nunca !!!</t>
  </si>
  <si>
    <t>Fluxos</t>
  </si>
  <si>
    <t>Taxa</t>
  </si>
  <si>
    <t>Note que o investimento inicial</t>
  </si>
  <si>
    <t>deve ser acrescentado fora da</t>
  </si>
  <si>
    <t>fórmula do VPL.</t>
  </si>
  <si>
    <t>Fórmula : P8  =VPL(P6;M8:M11)+M7</t>
  </si>
  <si>
    <t>XVPL</t>
  </si>
  <si>
    <t>Data</t>
  </si>
  <si>
    <t>Fórmula : P21  =XVPL(P19;M20:M24;L20:L24)</t>
  </si>
  <si>
    <t>XTIR</t>
  </si>
  <si>
    <t>Fórmula : P32  =XTIR(M31:M35;L31:L35)</t>
  </si>
  <si>
    <t>Operações</t>
  </si>
  <si>
    <t>na HP 12C :</t>
  </si>
  <si>
    <t>Na HP 12C :</t>
  </si>
  <si>
    <t>Na HP 12C, VPL :</t>
  </si>
  <si>
    <t>Na HP 12C, TIR :</t>
  </si>
  <si>
    <t>Relação de feriados bancários (importante para a contagem de dias úteis).</t>
  </si>
  <si>
    <t>Dias úteis</t>
  </si>
  <si>
    <t>Dias corridos</t>
  </si>
  <si>
    <t>Lembre-se : os feriados devem estar abastecidos.</t>
  </si>
  <si>
    <t>Regime</t>
  </si>
  <si>
    <t>t</t>
  </si>
  <si>
    <t>Primeiro feriado fornecido =</t>
  </si>
  <si>
    <t>de garantia, implícita ou explícita, sobre todo o material, incluindo modelos, textos,</t>
  </si>
  <si>
    <t xml:space="preserve">documentos e programas. Os autores e a editora não se responsabilizam por </t>
  </si>
  <si>
    <t>quaisquer incidentes ou danos decorrentes da compra, da performance ou do uso</t>
  </si>
  <si>
    <t>publicado pela Editora Atlas. Embora os melhores esforços tenham sido</t>
  </si>
  <si>
    <t>colocados na sua elaboração, os autores e a editora não dão nenhum tipo</t>
  </si>
  <si>
    <t>dos modelos, teorias e/ou exemplos apresentados no livro ou nesta planilha.</t>
  </si>
  <si>
    <r>
      <t>Atenção :</t>
    </r>
    <r>
      <rPr>
        <b/>
        <sz val="9"/>
        <color indexed="58"/>
        <rFont val="Arial"/>
        <family val="2"/>
      </rPr>
      <t xml:space="preserve"> </t>
    </r>
    <r>
      <rPr>
        <b/>
        <sz val="9"/>
        <color indexed="16"/>
        <rFont val="Arial"/>
        <family val="2"/>
      </rPr>
      <t>os modelos aqui apresentados destinam-se exclusivamente</t>
    </r>
  </si>
  <si>
    <t>Bruni &amp; Famá</t>
  </si>
  <si>
    <r>
      <t xml:space="preserve">a dar suporte didático ao texto </t>
    </r>
    <r>
      <rPr>
        <b/>
        <i/>
        <u val="single"/>
        <sz val="9"/>
        <color indexed="16"/>
        <rFont val="Arial"/>
        <family val="2"/>
      </rPr>
      <t>Matemática Financeira com HP 12C e Excel</t>
    </r>
    <r>
      <rPr>
        <b/>
        <sz val="9"/>
        <color indexed="16"/>
        <rFont val="Arial"/>
        <family val="2"/>
      </rPr>
      <t>,</t>
    </r>
  </si>
  <si>
    <r>
      <t xml:space="preserve">Rubens Famá, </t>
    </r>
    <r>
      <rPr>
        <b/>
        <i/>
        <sz val="14"/>
        <color indexed="12"/>
        <rFont val="Arial"/>
        <family val="2"/>
      </rPr>
      <t>D.Sc.</t>
    </r>
  </si>
  <si>
    <t>rfama@usp.br</t>
  </si>
  <si>
    <t>Séries Não Uniformes - Tempos Iguais</t>
  </si>
  <si>
    <t>Capitalização Contínua</t>
  </si>
  <si>
    <t>Juros simples :</t>
  </si>
  <si>
    <t>Juros compostos :</t>
  </si>
  <si>
    <t>Outros conceitos de matemátiva financeira podem ser vistos no arquivo MATFIN.PPT.</t>
  </si>
  <si>
    <t>Resumo de algumas fórmulas de matemática financeira</t>
  </si>
  <si>
    <t>Outras funções financeiras disponíveis no Excel :</t>
  </si>
  <si>
    <t>Função</t>
  </si>
  <si>
    <t>Descrição</t>
  </si>
  <si>
    <t>AMORDEGRC</t>
  </si>
  <si>
    <t>Retorna a depreciação para cada período contábil.</t>
  </si>
  <si>
    <t>AMORLINC</t>
  </si>
  <si>
    <t>BD</t>
  </si>
  <si>
    <t>Retorna a depreciação de um ativo para um determinado período utilizando o método de balanço de declínio fixo.</t>
  </si>
  <si>
    <t>BDD</t>
  </si>
  <si>
    <t>Retorna a depreciação de um ativo para um determinado período utilizando o método do balanço de declínio duplo ou qualquer outro método especificado.</t>
  </si>
  <si>
    <t>BDV</t>
  </si>
  <si>
    <t>Retorna a depreciação de um ativo para um período específico ou parcial utilizando o método de balanço decrescente.</t>
  </si>
  <si>
    <t>CUP.DATA.ANT</t>
  </si>
  <si>
    <t>Retorna a última data do cupom antes da data de liquidação.</t>
  </si>
  <si>
    <t>CUP.DATA.PRÓX</t>
  </si>
  <si>
    <t>Retorna a próxima data do cupom depois da data de liquidação.</t>
  </si>
  <si>
    <t>CUP.DIAS</t>
  </si>
  <si>
    <t>Retorna o número de dias no período do cupom que contém a data de liquidação.</t>
  </si>
  <si>
    <t>CUP.DIAS.IN.LIQ</t>
  </si>
  <si>
    <t>Retorna o número de dias entre o início do cupom e a data de liquidação.</t>
  </si>
  <si>
    <t>CUP.DIAS.PRÓX</t>
  </si>
  <si>
    <t>Retorna o número de dias entre a data de liquidação e a próxima data do cupom.</t>
  </si>
  <si>
    <t>CUP.NÚM</t>
  </si>
  <si>
    <t>Retorna o número de cupons a serem pagos entre a data de liquidação e a data do vencimento.</t>
  </si>
  <si>
    <t>DESC</t>
  </si>
  <si>
    <t>Retorna a taxa de desconto de um título.</t>
  </si>
  <si>
    <t>DPD</t>
  </si>
  <si>
    <t>Retorna a depreciação em linha reta de um ativo durante um período.</t>
  </si>
  <si>
    <t>DURAÇÃO</t>
  </si>
  <si>
    <t>Retorna a duração anual de um título com pagamentos de juros periódicos.</t>
  </si>
  <si>
    <t>EFETIVA</t>
  </si>
  <si>
    <t>Retorna a taxa de juros anual efetiva.</t>
  </si>
  <si>
    <t>IPGTO</t>
  </si>
  <si>
    <t>Retorna o pagamento dos juros de um investimento durante um determinado período.</t>
  </si>
  <si>
    <t>JUROS.ACUM</t>
  </si>
  <si>
    <t>Retorna os juros incorridos de um título que paga juros no vencimento.</t>
  </si>
  <si>
    <t>JUROS.ACUMV</t>
  </si>
  <si>
    <t>LUCRO</t>
  </si>
  <si>
    <t>Retorna o rendimento de um título que paga juros periódicos.</t>
  </si>
  <si>
    <t>LUCRO.DESC</t>
  </si>
  <si>
    <t>Retorna o lucro anual de um título descontado. Por exemplo, uma obrigação do tesouro.</t>
  </si>
  <si>
    <t>LUCRO.PRIM.INC</t>
  </si>
  <si>
    <t>Retorna o rendimento de um título com um período inicial incompleto.</t>
  </si>
  <si>
    <t>LUCRO.ÚLT.INC</t>
  </si>
  <si>
    <t>Retorna o rendimento de um título com um período final incompleto.</t>
  </si>
  <si>
    <t>LUCRO.VENC</t>
  </si>
  <si>
    <t>Retorna o rendimento anual de um título que paga juros no vencimento.</t>
  </si>
  <si>
    <t>MDURAÇÃO</t>
  </si>
  <si>
    <t>Retorna a duração modificada Macauley de um título com um valor par atribuído de $100.</t>
  </si>
  <si>
    <t>MOEDA.DEC</t>
  </si>
  <si>
    <t>Converte um preço em moeda, expresso com uma fração, em um preço em moeda, expresso como um número decimal.</t>
  </si>
  <si>
    <t>MOEDA.FRA</t>
  </si>
  <si>
    <t>Converte um preço em moeda, expresso com um número decimal, em um preço em moeda, expresso como uma fração.</t>
  </si>
  <si>
    <t>MTIR</t>
  </si>
  <si>
    <t>Retorna a taxa interna de retorno em que fluxos de caixa positivos e negativos são financiados com taxas diferentes.</t>
  </si>
  <si>
    <t>NOMINAL</t>
  </si>
  <si>
    <t>Retorna a taxa de juros nominal anual.</t>
  </si>
  <si>
    <t>NPER</t>
  </si>
  <si>
    <t>Retorna o número de períodos de um investimento.</t>
  </si>
  <si>
    <t>OTN</t>
  </si>
  <si>
    <t>Retorna o rendimento de uma letra do Tesouro equivalente ao rendimento de um título.</t>
  </si>
  <si>
    <t>OTN.LUCRO</t>
  </si>
  <si>
    <t>Retorna o rendimento de uma letra do Tesouro.</t>
  </si>
  <si>
    <t>OTN.VALOR</t>
  </si>
  <si>
    <t>Retorna o preço por $100 do valor nominal de uma letra do Tesouro.</t>
  </si>
  <si>
    <t>PGTO.CAP.ACUM</t>
  </si>
  <si>
    <t>Retorna o capital cumulativo pago em um empréstimo entre dois períodos.</t>
  </si>
  <si>
    <t>PGTO.JUR.ACUM</t>
  </si>
  <si>
    <t>Retorna os juros cumulativos pagos entre dois períodos.</t>
  </si>
  <si>
    <t>PPGTO</t>
  </si>
  <si>
    <t>Retorna o pagamento sobre o montante de um investimento em um determinado período.</t>
  </si>
  <si>
    <t>PREÇO</t>
  </si>
  <si>
    <t>Retorna o preço por $100 do valor nominal de um título que paga juros periódicos.</t>
  </si>
  <si>
    <t>PREÇO.DESC</t>
  </si>
  <si>
    <t>Retorna o preço por $100 do valor nominal de um título com deságio.</t>
  </si>
  <si>
    <t>PREÇO.PRIM.INC</t>
  </si>
  <si>
    <t>Retorna o preço por $100 do valor nominal de um título com um período inicial incompleto.</t>
  </si>
  <si>
    <t>PREÇO.ÚLT.INC</t>
  </si>
  <si>
    <t>Retorna o preço por $100 do valor nominal de um título com um período final incompleto.</t>
  </si>
  <si>
    <t>PREÇO.VENC</t>
  </si>
  <si>
    <t>Retorna o preço por $100 do valor nominal de um título que paga juros no vencimento.</t>
  </si>
  <si>
    <t>RECEBER</t>
  </si>
  <si>
    <t>Retorna a quantia recebida no vencimento para um título totalmente investido.</t>
  </si>
  <si>
    <t>SDA</t>
  </si>
  <si>
    <t>Retorna a depreciação dos dígitos da soma dos anos de um ativo para um período especificado.</t>
  </si>
  <si>
    <t>TAXA.JUROS</t>
  </si>
  <si>
    <t>Retorna a taxa de juros de um título totalmente investido.</t>
  </si>
  <si>
    <t>VF.PLANO</t>
  </si>
  <si>
    <t>Retorna o valor futuro de um capital inicial depois de ter sido aplicada uma série de taxas de juros compostos.</t>
  </si>
  <si>
    <t>Gráficos</t>
  </si>
  <si>
    <t>Cálculos Financeiros Gerais (Não Mexa !!!)</t>
  </si>
  <si>
    <t>Por Adriano Leal Bruni e Rubens Famá</t>
  </si>
  <si>
    <t>Não existe</t>
  </si>
  <si>
    <t>JS</t>
  </si>
  <si>
    <t>JC</t>
  </si>
  <si>
    <t>D</t>
  </si>
  <si>
    <t>l</t>
  </si>
  <si>
    <t>c</t>
  </si>
  <si>
    <t>fómula ==&gt;</t>
  </si>
  <si>
    <t xml:space="preserve">   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</si>
</sst>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_(* #,##0.000_);_(* \(#,##0.000\);_(* &quot;-&quot;??_);_(@_)"/>
    <numFmt numFmtId="172" formatCode="_(* #,##0.0000_);_(* \(#,##0.0000\);_(* &quot;-&quot;??_);_(@_)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0%"/>
    <numFmt numFmtId="179" formatCode="0.000000%"/>
    <numFmt numFmtId="180" formatCode="_(* #,##0.0000_);_(* \(#,##0.0000\);_(* &quot;-&quot;????_);_(@_)"/>
  </numFmts>
  <fonts count="69">
    <font>
      <sz val="10"/>
      <name val="Arial"/>
      <family val="0"/>
    </font>
    <font>
      <sz val="16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16"/>
      <color indexed="12"/>
      <name val="Arial"/>
      <family val="2"/>
    </font>
    <font>
      <i/>
      <sz val="16"/>
      <name val="Arial"/>
      <family val="2"/>
    </font>
    <font>
      <b/>
      <u val="single"/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3"/>
      <name val="Arial"/>
      <family val="2"/>
    </font>
    <font>
      <b/>
      <sz val="24"/>
      <color indexed="12"/>
      <name val="Arial"/>
      <family val="2"/>
    </font>
    <font>
      <b/>
      <sz val="10"/>
      <color indexed="58"/>
      <name val="Arial"/>
      <family val="2"/>
    </font>
    <font>
      <i/>
      <sz val="10"/>
      <name val="Arial"/>
      <family val="2"/>
    </font>
    <font>
      <b/>
      <sz val="18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41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sz val="20"/>
      <name val="Arial"/>
      <family val="2"/>
    </font>
    <font>
      <b/>
      <i/>
      <sz val="20"/>
      <color indexed="10"/>
      <name val="Arial"/>
      <family val="2"/>
    </font>
    <font>
      <b/>
      <i/>
      <sz val="12"/>
      <color indexed="58"/>
      <name val="Arial"/>
      <family val="2"/>
    </font>
    <font>
      <b/>
      <sz val="14"/>
      <color indexed="10"/>
      <name val="Arial"/>
      <family val="2"/>
    </font>
    <font>
      <sz val="16"/>
      <color indexed="9"/>
      <name val="Arial"/>
      <family val="2"/>
    </font>
    <font>
      <b/>
      <sz val="16"/>
      <color indexed="12"/>
      <name val="Arial"/>
      <family val="2"/>
    </font>
    <font>
      <b/>
      <sz val="20"/>
      <color indexed="13"/>
      <name val="Arial"/>
      <family val="2"/>
    </font>
    <font>
      <b/>
      <sz val="10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sz val="9.25"/>
      <name val="Arial"/>
      <family val="0"/>
    </font>
    <font>
      <sz val="10.5"/>
      <name val="Arial"/>
      <family val="0"/>
    </font>
    <font>
      <b/>
      <sz val="20"/>
      <color indexed="18"/>
      <name val="Arial"/>
      <family val="2"/>
    </font>
    <font>
      <sz val="8.75"/>
      <name val="Arial"/>
      <family val="2"/>
    </font>
    <font>
      <sz val="8.5"/>
      <name val="Arial"/>
      <family val="2"/>
    </font>
    <font>
      <sz val="9.75"/>
      <name val="Arial"/>
      <family val="0"/>
    </font>
    <font>
      <b/>
      <i/>
      <u val="single"/>
      <sz val="12"/>
      <color indexed="10"/>
      <name val="Arial"/>
      <family val="2"/>
    </font>
    <font>
      <b/>
      <u val="single"/>
      <sz val="26"/>
      <color indexed="5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6"/>
      <color indexed="12"/>
      <name val="Arial"/>
      <family val="2"/>
    </font>
    <font>
      <b/>
      <sz val="16"/>
      <color indexed="16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u val="single"/>
      <sz val="12"/>
      <color indexed="16"/>
      <name val="Arial"/>
      <family val="2"/>
    </font>
    <font>
      <b/>
      <i/>
      <u val="single"/>
      <sz val="8"/>
      <color indexed="10"/>
      <name val="Arial"/>
      <family val="2"/>
    </font>
    <font>
      <sz val="16"/>
      <color indexed="22"/>
      <name val="Arial"/>
      <family val="2"/>
    </font>
    <font>
      <b/>
      <sz val="10"/>
      <color indexed="18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13"/>
      <name val="Arial"/>
      <family val="2"/>
    </font>
    <font>
      <b/>
      <i/>
      <sz val="10"/>
      <color indexed="16"/>
      <name val="Arial"/>
      <family val="2"/>
    </font>
    <font>
      <b/>
      <sz val="8"/>
      <name val="Tahoma"/>
      <family val="0"/>
    </font>
    <font>
      <b/>
      <sz val="9"/>
      <color indexed="16"/>
      <name val="Arial"/>
      <family val="2"/>
    </font>
    <font>
      <b/>
      <i/>
      <sz val="9"/>
      <color indexed="16"/>
      <name val="Arial"/>
      <family val="2"/>
    </font>
    <font>
      <b/>
      <u val="single"/>
      <sz val="9"/>
      <color indexed="58"/>
      <name val="Arial"/>
      <family val="2"/>
    </font>
    <font>
      <b/>
      <sz val="9"/>
      <color indexed="58"/>
      <name val="Arial"/>
      <family val="2"/>
    </font>
    <font>
      <b/>
      <i/>
      <u val="single"/>
      <sz val="9"/>
      <color indexed="16"/>
      <name val="Arial"/>
      <family val="2"/>
    </font>
    <font>
      <sz val="10"/>
      <color indexed="55"/>
      <name val="Arial"/>
      <family val="2"/>
    </font>
    <font>
      <b/>
      <sz val="22"/>
      <color indexed="55"/>
      <name val="Arial"/>
      <family val="2"/>
    </font>
    <font>
      <sz val="16"/>
      <color indexed="55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20"/>
      <color indexed="47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1" fillId="2" borderId="0" xfId="0" applyFont="1" applyFill="1" applyAlignment="1">
      <alignment/>
    </xf>
    <xf numFmtId="167" fontId="1" fillId="2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4" fillId="6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1" fillId="2" borderId="0" xfId="18" applyFont="1" applyFill="1" applyAlignment="1">
      <alignment/>
    </xf>
    <xf numFmtId="10" fontId="1" fillId="2" borderId="0" xfId="18" applyNumberFormat="1" applyFont="1" applyFill="1" applyAlignment="1">
      <alignment horizontal="center"/>
    </xf>
    <xf numFmtId="0" fontId="8" fillId="0" borderId="0" xfId="0" applyFont="1" applyAlignment="1">
      <alignment/>
    </xf>
    <xf numFmtId="167" fontId="1" fillId="2" borderId="0" xfId="18" applyNumberFormat="1" applyFont="1" applyFill="1" applyAlignment="1">
      <alignment horizontal="center"/>
    </xf>
    <xf numFmtId="43" fontId="1" fillId="2" borderId="0" xfId="18" applyFont="1" applyFill="1" applyAlignment="1">
      <alignment horizontal="center"/>
    </xf>
    <xf numFmtId="10" fontId="1" fillId="2" borderId="0" xfId="17" applyNumberFormat="1" applyFont="1" applyFill="1" applyAlignment="1">
      <alignment/>
    </xf>
    <xf numFmtId="0" fontId="10" fillId="7" borderId="0" xfId="0" applyFont="1" applyFill="1" applyAlignment="1">
      <alignment/>
    </xf>
    <xf numFmtId="0" fontId="0" fillId="7" borderId="0" xfId="0" applyFill="1" applyAlignment="1">
      <alignment/>
    </xf>
    <xf numFmtId="0" fontId="11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5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20" fillId="4" borderId="0" xfId="0" applyFont="1" applyFill="1" applyBorder="1" applyAlignment="1">
      <alignment/>
    </xf>
    <xf numFmtId="0" fontId="22" fillId="7" borderId="0" xfId="0" applyFont="1" applyFill="1" applyAlignment="1">
      <alignment/>
    </xf>
    <xf numFmtId="0" fontId="23" fillId="7" borderId="0" xfId="0" applyFont="1" applyFill="1" applyAlignment="1">
      <alignment/>
    </xf>
    <xf numFmtId="172" fontId="1" fillId="2" borderId="0" xfId="18" applyNumberFormat="1" applyFont="1" applyFill="1" applyAlignment="1">
      <alignment/>
    </xf>
    <xf numFmtId="10" fontId="1" fillId="2" borderId="0" xfId="17" applyNumberFormat="1" applyFont="1" applyFill="1" applyAlignment="1">
      <alignment horizontal="center"/>
    </xf>
    <xf numFmtId="0" fontId="4" fillId="8" borderId="14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5" fillId="2" borderId="18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Alignment="1">
      <alignment/>
    </xf>
    <xf numFmtId="0" fontId="27" fillId="2" borderId="0" xfId="0" applyFont="1" applyFill="1" applyAlignment="1">
      <alignment/>
    </xf>
    <xf numFmtId="0" fontId="15" fillId="0" borderId="0" xfId="0" applyFont="1" applyAlignment="1">
      <alignment/>
    </xf>
    <xf numFmtId="0" fontId="12" fillId="9" borderId="18" xfId="0" applyFont="1" applyFill="1" applyBorder="1" applyAlignment="1">
      <alignment horizontal="center"/>
    </xf>
    <xf numFmtId="0" fontId="29" fillId="6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43" fontId="0" fillId="8" borderId="8" xfId="0" applyNumberFormat="1" applyFill="1" applyBorder="1" applyAlignment="1">
      <alignment/>
    </xf>
    <xf numFmtId="9" fontId="0" fillId="8" borderId="13" xfId="0" applyNumberFormat="1" applyFill="1" applyBorder="1" applyAlignment="1">
      <alignment/>
    </xf>
    <xf numFmtId="0" fontId="4" fillId="8" borderId="18" xfId="0" applyFont="1" applyFill="1" applyBorder="1" applyAlignment="1">
      <alignment horizontal="left"/>
    </xf>
    <xf numFmtId="0" fontId="4" fillId="8" borderId="14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18" applyAlignment="1">
      <alignment/>
    </xf>
    <xf numFmtId="0" fontId="2" fillId="9" borderId="6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9" borderId="8" xfId="0" applyFont="1" applyFill="1" applyBorder="1" applyAlignment="1">
      <alignment/>
    </xf>
    <xf numFmtId="0" fontId="2" fillId="9" borderId="11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14" fontId="46" fillId="9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7" fillId="8" borderId="14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7" borderId="0" xfId="0" applyFill="1" applyAlignment="1">
      <alignment horizontal="center"/>
    </xf>
    <xf numFmtId="0" fontId="0" fillId="8" borderId="0" xfId="0" applyFill="1" applyAlignment="1">
      <alignment/>
    </xf>
    <xf numFmtId="9" fontId="0" fillId="8" borderId="0" xfId="0" applyNumberFormat="1" applyFill="1" applyAlignment="1">
      <alignment/>
    </xf>
    <xf numFmtId="43" fontId="0" fillId="8" borderId="0" xfId="18" applyFill="1" applyAlignment="1">
      <alignment/>
    </xf>
    <xf numFmtId="0" fontId="49" fillId="0" borderId="0" xfId="0" applyFont="1" applyAlignment="1">
      <alignment/>
    </xf>
    <xf numFmtId="0" fontId="29" fillId="2" borderId="0" xfId="0" applyFont="1" applyFill="1" applyAlignment="1">
      <alignment horizontal="center"/>
    </xf>
    <xf numFmtId="14" fontId="0" fillId="7" borderId="0" xfId="0" applyNumberFormat="1" applyFill="1" applyAlignment="1">
      <alignment horizontal="center"/>
    </xf>
    <xf numFmtId="0" fontId="29" fillId="8" borderId="0" xfId="0" applyFont="1" applyFill="1" applyAlignment="1">
      <alignment/>
    </xf>
    <xf numFmtId="9" fontId="29" fillId="8" borderId="0" xfId="0" applyNumberFormat="1" applyFont="1" applyFill="1" applyAlignment="1">
      <alignment/>
    </xf>
    <xf numFmtId="43" fontId="29" fillId="8" borderId="0" xfId="18" applyFont="1" applyFill="1" applyAlignment="1">
      <alignment/>
    </xf>
    <xf numFmtId="10" fontId="29" fillId="8" borderId="0" xfId="17" applyNumberFormat="1" applyFont="1" applyFill="1" applyAlignment="1">
      <alignment/>
    </xf>
    <xf numFmtId="0" fontId="29" fillId="0" borderId="0" xfId="0" applyFont="1" applyFill="1" applyAlignment="1">
      <alignment/>
    </xf>
    <xf numFmtId="9" fontId="29" fillId="0" borderId="0" xfId="0" applyNumberFormat="1" applyFont="1" applyFill="1" applyAlignment="1">
      <alignment horizontal="center"/>
    </xf>
    <xf numFmtId="0" fontId="27" fillId="8" borderId="18" xfId="0" applyFont="1" applyFill="1" applyBorder="1" applyAlignment="1">
      <alignment/>
    </xf>
    <xf numFmtId="0" fontId="50" fillId="10" borderId="21" xfId="0" applyFont="1" applyFill="1" applyBorder="1" applyAlignment="1">
      <alignment horizontal="center"/>
    </xf>
    <xf numFmtId="43" fontId="50" fillId="10" borderId="22" xfId="0" applyNumberFormat="1" applyFont="1" applyFill="1" applyBorder="1" applyAlignment="1">
      <alignment horizontal="center"/>
    </xf>
    <xf numFmtId="43" fontId="1" fillId="0" borderId="0" xfId="18" applyFont="1" applyAlignment="1">
      <alignment/>
    </xf>
    <xf numFmtId="10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1" fillId="0" borderId="0" xfId="17" applyNumberFormat="1" applyFont="1" applyAlignment="1">
      <alignment/>
    </xf>
    <xf numFmtId="176" fontId="1" fillId="0" borderId="0" xfId="17" applyNumberFormat="1" applyFont="1" applyAlignment="1">
      <alignment/>
    </xf>
    <xf numFmtId="179" fontId="1" fillId="0" borderId="0" xfId="17" applyNumberFormat="1" applyFont="1" applyAlignment="1">
      <alignment/>
    </xf>
    <xf numFmtId="0" fontId="17" fillId="11" borderId="0" xfId="0" applyFont="1" applyFill="1" applyAlignment="1">
      <alignment horizontal="center"/>
    </xf>
    <xf numFmtId="0" fontId="51" fillId="11" borderId="0" xfId="0" applyFont="1" applyFill="1" applyAlignment="1">
      <alignment horizontal="center"/>
    </xf>
    <xf numFmtId="0" fontId="52" fillId="9" borderId="13" xfId="0" applyFont="1" applyFill="1" applyBorder="1" applyAlignment="1">
      <alignment horizontal="center"/>
    </xf>
    <xf numFmtId="0" fontId="44" fillId="2" borderId="23" xfId="0" applyFont="1" applyFill="1" applyBorder="1" applyAlignment="1">
      <alignment horizontal="center"/>
    </xf>
    <xf numFmtId="0" fontId="44" fillId="2" borderId="24" xfId="0" applyFont="1" applyFill="1" applyBorder="1" applyAlignment="1">
      <alignment horizontal="center"/>
    </xf>
    <xf numFmtId="0" fontId="44" fillId="2" borderId="25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43" fontId="0" fillId="7" borderId="0" xfId="18" applyFill="1" applyAlignment="1">
      <alignment/>
    </xf>
    <xf numFmtId="177" fontId="0" fillId="7" borderId="0" xfId="17" applyNumberFormat="1" applyFill="1" applyAlignment="1">
      <alignment/>
    </xf>
    <xf numFmtId="14" fontId="1" fillId="12" borderId="26" xfId="18" applyNumberFormat="1" applyFont="1" applyFill="1" applyBorder="1" applyAlignment="1">
      <alignment horizontal="center"/>
    </xf>
    <xf numFmtId="14" fontId="1" fillId="12" borderId="15" xfId="0" applyNumberFormat="1" applyFont="1" applyFill="1" applyBorder="1" applyAlignment="1">
      <alignment horizontal="center"/>
    </xf>
    <xf numFmtId="0" fontId="1" fillId="13" borderId="15" xfId="18" applyNumberFormat="1" applyFont="1" applyFill="1" applyBorder="1" applyAlignment="1">
      <alignment horizontal="center"/>
    </xf>
    <xf numFmtId="0" fontId="1" fillId="13" borderId="27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/>
    </xf>
    <xf numFmtId="14" fontId="46" fillId="9" borderId="0" xfId="0" applyNumberFormat="1" applyFont="1" applyFill="1" applyBorder="1" applyAlignment="1">
      <alignment horizontal="center"/>
    </xf>
    <xf numFmtId="0" fontId="2" fillId="9" borderId="9" xfId="0" applyFont="1" applyFill="1" applyBorder="1" applyAlignment="1">
      <alignment/>
    </xf>
    <xf numFmtId="0" fontId="52" fillId="9" borderId="10" xfId="0" applyFont="1" applyFill="1" applyBorder="1" applyAlignment="1">
      <alignment horizontal="center"/>
    </xf>
    <xf numFmtId="0" fontId="56" fillId="8" borderId="6" xfId="0" applyFont="1" applyFill="1" applyBorder="1" applyAlignment="1">
      <alignment/>
    </xf>
    <xf numFmtId="0" fontId="54" fillId="8" borderId="7" xfId="0" applyFont="1" applyFill="1" applyBorder="1" applyAlignment="1">
      <alignment/>
    </xf>
    <xf numFmtId="0" fontId="54" fillId="8" borderId="8" xfId="0" applyFont="1" applyFill="1" applyBorder="1" applyAlignment="1">
      <alignment/>
    </xf>
    <xf numFmtId="0" fontId="54" fillId="8" borderId="9" xfId="0" applyFont="1" applyFill="1" applyBorder="1" applyAlignment="1">
      <alignment/>
    </xf>
    <xf numFmtId="0" fontId="54" fillId="8" borderId="0" xfId="0" applyFont="1" applyFill="1" applyBorder="1" applyAlignment="1">
      <alignment/>
    </xf>
    <xf numFmtId="0" fontId="54" fillId="8" borderId="10" xfId="0" applyFont="1" applyFill="1" applyBorder="1" applyAlignment="1">
      <alignment/>
    </xf>
    <xf numFmtId="0" fontId="55" fillId="8" borderId="0" xfId="0" applyFont="1" applyFill="1" applyBorder="1" applyAlignment="1">
      <alignment/>
    </xf>
    <xf numFmtId="22" fontId="54" fillId="8" borderId="0" xfId="0" applyNumberFormat="1" applyFont="1" applyFill="1" applyBorder="1" applyAlignment="1">
      <alignment/>
    </xf>
    <xf numFmtId="0" fontId="54" fillId="8" borderId="11" xfId="0" applyFont="1" applyFill="1" applyBorder="1" applyAlignment="1">
      <alignment/>
    </xf>
    <xf numFmtId="0" fontId="54" fillId="8" borderId="12" xfId="0" applyFont="1" applyFill="1" applyBorder="1" applyAlignment="1">
      <alignment/>
    </xf>
    <xf numFmtId="0" fontId="54" fillId="8" borderId="13" xfId="0" applyFont="1" applyFill="1" applyBorder="1" applyAlignment="1">
      <alignment/>
    </xf>
    <xf numFmtId="0" fontId="4" fillId="14" borderId="14" xfId="0" applyFont="1" applyFill="1" applyBorder="1" applyAlignment="1">
      <alignment/>
    </xf>
    <xf numFmtId="0" fontId="4" fillId="14" borderId="19" xfId="0" applyFont="1" applyFill="1" applyBorder="1" applyAlignment="1">
      <alignment/>
    </xf>
    <xf numFmtId="0" fontId="27" fillId="14" borderId="18" xfId="0" applyFont="1" applyFill="1" applyBorder="1" applyAlignment="1">
      <alignment/>
    </xf>
    <xf numFmtId="43" fontId="0" fillId="2" borderId="0" xfId="18" applyFont="1" applyFill="1" applyAlignment="1">
      <alignment horizontal="center"/>
    </xf>
    <xf numFmtId="0" fontId="34" fillId="7" borderId="0" xfId="0" applyFont="1" applyFill="1" applyAlignment="1">
      <alignment/>
    </xf>
    <xf numFmtId="0" fontId="39" fillId="7" borderId="0" xfId="0" applyFont="1" applyFill="1" applyAlignment="1">
      <alignment/>
    </xf>
    <xf numFmtId="0" fontId="40" fillId="7" borderId="28" xfId="0" applyFont="1" applyFill="1" applyBorder="1" applyAlignment="1">
      <alignment/>
    </xf>
    <xf numFmtId="0" fontId="42" fillId="7" borderId="0" xfId="0" applyFont="1" applyFill="1" applyAlignment="1">
      <alignment/>
    </xf>
    <xf numFmtId="0" fontId="43" fillId="7" borderId="28" xfId="0" applyFont="1" applyFill="1" applyBorder="1" applyAlignment="1">
      <alignment/>
    </xf>
    <xf numFmtId="0" fontId="0" fillId="7" borderId="0" xfId="0" applyFill="1" applyAlignment="1" applyProtection="1">
      <alignment/>
      <protection locked="0"/>
    </xf>
    <xf numFmtId="0" fontId="0" fillId="8" borderId="6" xfId="0" applyFill="1" applyBorder="1" applyAlignment="1" applyProtection="1">
      <alignment/>
      <protection locked="0"/>
    </xf>
    <xf numFmtId="0" fontId="0" fillId="8" borderId="7" xfId="0" applyFill="1" applyBorder="1" applyAlignment="1" applyProtection="1">
      <alignment/>
      <protection locked="0"/>
    </xf>
    <xf numFmtId="0" fontId="0" fillId="8" borderId="8" xfId="0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0" fontId="0" fillId="8" borderId="12" xfId="0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0" fontId="8" fillId="7" borderId="0" xfId="0" applyFont="1" applyFill="1" applyAlignment="1" applyProtection="1">
      <alignment/>
      <protection locked="0"/>
    </xf>
    <xf numFmtId="43" fontId="1" fillId="7" borderId="0" xfId="18" applyFont="1" applyFill="1" applyAlignment="1" applyProtection="1">
      <alignment/>
      <protection locked="0"/>
    </xf>
    <xf numFmtId="0" fontId="1" fillId="7" borderId="0" xfId="0" applyFont="1" applyFill="1" applyAlignment="1" applyProtection="1">
      <alignment horizontal="center"/>
      <protection locked="0"/>
    </xf>
    <xf numFmtId="9" fontId="1" fillId="7" borderId="0" xfId="17" applyFont="1" applyFill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3" fontId="1" fillId="7" borderId="0" xfId="18" applyFont="1" applyFill="1" applyAlignment="1" applyProtection="1">
      <alignment horizontal="center"/>
      <protection locked="0"/>
    </xf>
    <xf numFmtId="9" fontId="7" fillId="7" borderId="0" xfId="17" applyFont="1" applyFill="1" applyAlignment="1" applyProtection="1">
      <alignment horizontal="center"/>
      <protection locked="0"/>
    </xf>
    <xf numFmtId="43" fontId="7" fillId="7" borderId="0" xfId="18" applyFont="1" applyFill="1" applyAlignment="1" applyProtection="1">
      <alignment horizontal="center"/>
      <protection locked="0"/>
    </xf>
    <xf numFmtId="10" fontId="1" fillId="7" borderId="0" xfId="17" applyNumberFormat="1" applyFont="1" applyFill="1" applyAlignment="1" applyProtection="1">
      <alignment horizontal="center"/>
      <protection locked="0"/>
    </xf>
    <xf numFmtId="43" fontId="0" fillId="7" borderId="8" xfId="18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10" fontId="0" fillId="7" borderId="10" xfId="0" applyNumberFormat="1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8" borderId="17" xfId="0" applyFill="1" applyBorder="1" applyAlignment="1">
      <alignment/>
    </xf>
    <xf numFmtId="43" fontId="0" fillId="8" borderId="17" xfId="18" applyFill="1" applyBorder="1" applyAlignment="1">
      <alignment/>
    </xf>
    <xf numFmtId="43" fontId="0" fillId="8" borderId="15" xfId="18" applyFill="1" applyBorder="1" applyAlignment="1">
      <alignment/>
    </xf>
    <xf numFmtId="43" fontId="0" fillId="8" borderId="17" xfId="18" applyFill="1" applyBorder="1" applyAlignment="1">
      <alignment/>
    </xf>
    <xf numFmtId="43" fontId="0" fillId="8" borderId="15" xfId="18" applyFill="1" applyBorder="1" applyAlignment="1">
      <alignment/>
    </xf>
    <xf numFmtId="43" fontId="0" fillId="7" borderId="8" xfId="18" applyFill="1" applyBorder="1" applyAlignment="1" applyProtection="1">
      <alignment/>
      <protection locked="0"/>
    </xf>
    <xf numFmtId="9" fontId="0" fillId="7" borderId="10" xfId="0" applyNumberFormat="1" applyFill="1" applyBorder="1" applyAlignment="1" applyProtection="1">
      <alignment/>
      <protection locked="0"/>
    </xf>
    <xf numFmtId="0" fontId="0" fillId="8" borderId="17" xfId="0" applyFill="1" applyBorder="1" applyAlignment="1">
      <alignment horizontal="center"/>
    </xf>
    <xf numFmtId="43" fontId="0" fillId="7" borderId="17" xfId="18" applyFill="1" applyBorder="1" applyAlignment="1" applyProtection="1">
      <alignment/>
      <protection locked="0"/>
    </xf>
    <xf numFmtId="9" fontId="0" fillId="7" borderId="19" xfId="0" applyNumberFormat="1" applyFill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/>
      <protection hidden="1" locked="0"/>
    </xf>
    <xf numFmtId="0" fontId="60" fillId="0" borderId="0" xfId="0" applyFont="1" applyBorder="1" applyAlignment="1" applyProtection="1">
      <alignment/>
      <protection hidden="1" locked="0"/>
    </xf>
    <xf numFmtId="0" fontId="61" fillId="0" borderId="0" xfId="0" applyFont="1" applyBorder="1" applyAlignment="1" applyProtection="1">
      <alignment/>
      <protection hidden="1" locked="0"/>
    </xf>
    <xf numFmtId="0" fontId="59" fillId="0" borderId="0" xfId="0" applyFont="1" applyBorder="1" applyAlignment="1" applyProtection="1">
      <alignment horizontal="center"/>
      <protection hidden="1" locked="0"/>
    </xf>
    <xf numFmtId="43" fontId="59" fillId="0" borderId="0" xfId="18" applyFont="1" applyBorder="1" applyAlignment="1" applyProtection="1">
      <alignment horizontal="center"/>
      <protection hidden="1" locked="0"/>
    </xf>
    <xf numFmtId="0" fontId="59" fillId="0" borderId="0" xfId="0" applyFont="1" applyFill="1" applyBorder="1" applyAlignment="1" applyProtection="1">
      <alignment/>
      <protection hidden="1" locked="0"/>
    </xf>
    <xf numFmtId="10" fontId="0" fillId="7" borderId="19" xfId="0" applyNumberFormat="1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43" fontId="0" fillId="8" borderId="17" xfId="18" applyFill="1" applyBorder="1" applyAlignment="1">
      <alignment horizontal="center"/>
    </xf>
    <xf numFmtId="0" fontId="38" fillId="8" borderId="14" xfId="0" applyFont="1" applyFill="1" applyBorder="1" applyAlignment="1" applyProtection="1">
      <alignment horizontal="center" vertical="center"/>
      <protection locked="0"/>
    </xf>
    <xf numFmtId="0" fontId="4" fillId="8" borderId="19" xfId="0" applyFont="1" applyFill="1" applyBorder="1" applyAlignment="1" applyProtection="1">
      <alignment/>
      <protection locked="0"/>
    </xf>
    <xf numFmtId="0" fontId="41" fillId="7" borderId="23" xfId="0" applyFont="1" applyFill="1" applyBorder="1" applyAlignment="1" applyProtection="1">
      <alignment horizontal="center"/>
      <protection locked="0"/>
    </xf>
    <xf numFmtId="0" fontId="44" fillId="7" borderId="29" xfId="0" applyFont="1" applyFill="1" applyBorder="1" applyAlignment="1" applyProtection="1">
      <alignment horizontal="center"/>
      <protection locked="0"/>
    </xf>
    <xf numFmtId="177" fontId="44" fillId="7" borderId="24" xfId="17" applyNumberFormat="1" applyFont="1" applyFill="1" applyBorder="1" applyAlignment="1" applyProtection="1">
      <alignment horizontal="center"/>
      <protection locked="0"/>
    </xf>
    <xf numFmtId="43" fontId="44" fillId="7" borderId="24" xfId="18" applyFont="1" applyFill="1" applyBorder="1" applyAlignment="1" applyProtection="1">
      <alignment horizontal="center"/>
      <protection locked="0"/>
    </xf>
    <xf numFmtId="43" fontId="44" fillId="7" borderId="24" xfId="18" applyNumberFormat="1" applyFont="1" applyFill="1" applyBorder="1" applyAlignment="1" applyProtection="1">
      <alignment horizontal="center"/>
      <protection locked="0"/>
    </xf>
    <xf numFmtId="0" fontId="44" fillId="7" borderId="25" xfId="0" applyFont="1" applyFill="1" applyBorder="1" applyAlignment="1" applyProtection="1">
      <alignment horizontal="center"/>
      <protection locked="0"/>
    </xf>
    <xf numFmtId="170" fontId="1" fillId="7" borderId="30" xfId="17" applyNumberFormat="1" applyFont="1" applyFill="1" applyBorder="1" applyAlignment="1" applyProtection="1">
      <alignment horizontal="center"/>
      <protection locked="0"/>
    </xf>
    <xf numFmtId="0" fontId="1" fillId="7" borderId="16" xfId="0" applyFont="1" applyFill="1" applyBorder="1" applyAlignment="1" applyProtection="1">
      <alignment horizontal="center"/>
      <protection locked="0"/>
    </xf>
    <xf numFmtId="170" fontId="1" fillId="7" borderId="16" xfId="17" applyNumberFormat="1" applyFont="1" applyFill="1" applyBorder="1" applyAlignment="1" applyProtection="1">
      <alignment horizontal="center"/>
      <protection locked="0"/>
    </xf>
    <xf numFmtId="0" fontId="1" fillId="7" borderId="31" xfId="0" applyFont="1" applyFill="1" applyBorder="1" applyAlignment="1" applyProtection="1">
      <alignment horizontal="center"/>
      <protection locked="0"/>
    </xf>
    <xf numFmtId="0" fontId="4" fillId="8" borderId="19" xfId="0" applyFont="1" applyFill="1" applyBorder="1" applyAlignment="1" applyProtection="1">
      <alignment horizontal="left"/>
      <protection locked="0"/>
    </xf>
    <xf numFmtId="10" fontId="1" fillId="0" borderId="0" xfId="18" applyNumberFormat="1" applyFont="1" applyAlignment="1" applyProtection="1">
      <alignment/>
      <protection locked="0"/>
    </xf>
    <xf numFmtId="43" fontId="1" fillId="0" borderId="0" xfId="18" applyFont="1" applyAlignment="1" applyProtection="1">
      <alignment/>
      <protection locked="0"/>
    </xf>
    <xf numFmtId="0" fontId="4" fillId="8" borderId="14" xfId="0" applyFont="1" applyFill="1" applyBorder="1" applyAlignment="1" applyProtection="1">
      <alignment horizontal="left"/>
      <protection locked="0"/>
    </xf>
    <xf numFmtId="14" fontId="1" fillId="7" borderId="30" xfId="17" applyNumberFormat="1" applyFont="1" applyFill="1" applyBorder="1" applyAlignment="1" applyProtection="1">
      <alignment horizontal="center"/>
      <protection locked="0"/>
    </xf>
    <xf numFmtId="14" fontId="1" fillId="7" borderId="16" xfId="0" applyNumberFormat="1" applyFont="1" applyFill="1" applyBorder="1" applyAlignment="1" applyProtection="1">
      <alignment horizontal="center"/>
      <protection locked="0"/>
    </xf>
    <xf numFmtId="175" fontId="1" fillId="7" borderId="31" xfId="18" applyNumberFormat="1" applyFont="1" applyFill="1" applyBorder="1" applyAlignment="1" applyProtection="1">
      <alignment horizontal="center"/>
      <protection locked="0"/>
    </xf>
    <xf numFmtId="14" fontId="1" fillId="7" borderId="32" xfId="0" applyNumberFormat="1" applyFont="1" applyFill="1" applyBorder="1" applyAlignment="1" applyProtection="1">
      <alignment/>
      <protection locked="0"/>
    </xf>
    <xf numFmtId="14" fontId="1" fillId="7" borderId="33" xfId="0" applyNumberFormat="1" applyFont="1" applyFill="1" applyBorder="1" applyAlignment="1" applyProtection="1">
      <alignment/>
      <protection locked="0"/>
    </xf>
    <xf numFmtId="0" fontId="1" fillId="7" borderId="33" xfId="0" applyFont="1" applyFill="1" applyBorder="1" applyAlignment="1" applyProtection="1">
      <alignment/>
      <protection locked="0"/>
    </xf>
    <xf numFmtId="0" fontId="1" fillId="7" borderId="34" xfId="0" applyFont="1" applyFill="1" applyBorder="1" applyAlignment="1" applyProtection="1">
      <alignment/>
      <protection locked="0"/>
    </xf>
    <xf numFmtId="14" fontId="1" fillId="7" borderId="35" xfId="0" applyNumberFormat="1" applyFont="1" applyFill="1" applyBorder="1" applyAlignment="1" applyProtection="1">
      <alignment/>
      <protection locked="0"/>
    </xf>
    <xf numFmtId="14" fontId="1" fillId="7" borderId="17" xfId="0" applyNumberFormat="1" applyFont="1" applyFill="1" applyBorder="1" applyAlignment="1" applyProtection="1">
      <alignment/>
      <protection locked="0"/>
    </xf>
    <xf numFmtId="0" fontId="1" fillId="7" borderId="17" xfId="0" applyFont="1" applyFill="1" applyBorder="1" applyAlignment="1" applyProtection="1">
      <alignment/>
      <protection locked="0"/>
    </xf>
    <xf numFmtId="0" fontId="1" fillId="7" borderId="36" xfId="0" applyFont="1" applyFill="1" applyBorder="1" applyAlignment="1" applyProtection="1">
      <alignment/>
      <protection locked="0"/>
    </xf>
    <xf numFmtId="0" fontId="1" fillId="7" borderId="35" xfId="0" applyFont="1" applyFill="1" applyBorder="1" applyAlignment="1" applyProtection="1">
      <alignment/>
      <protection locked="0"/>
    </xf>
    <xf numFmtId="0" fontId="1" fillId="7" borderId="4" xfId="0" applyFont="1" applyFill="1" applyBorder="1" applyAlignment="1" applyProtection="1">
      <alignment/>
      <protection locked="0"/>
    </xf>
    <xf numFmtId="0" fontId="1" fillId="7" borderId="5" xfId="0" applyFont="1" applyFill="1" applyBorder="1" applyAlignment="1" applyProtection="1">
      <alignment/>
      <protection locked="0"/>
    </xf>
    <xf numFmtId="0" fontId="1" fillId="7" borderId="3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40" fillId="7" borderId="28" xfId="0" applyFont="1" applyFill="1" applyBorder="1" applyAlignment="1" applyProtection="1">
      <alignment/>
      <protection locked="0"/>
    </xf>
    <xf numFmtId="2" fontId="45" fillId="13" borderId="38" xfId="0" applyNumberFormat="1" applyFont="1" applyFill="1" applyBorder="1" applyAlignment="1" applyProtection="1">
      <alignment horizontal="center"/>
      <protection hidden="1"/>
    </xf>
    <xf numFmtId="2" fontId="44" fillId="13" borderId="39" xfId="0" applyNumberFormat="1" applyFont="1" applyFill="1" applyBorder="1" applyAlignment="1" applyProtection="1">
      <alignment horizontal="center"/>
      <protection hidden="1"/>
    </xf>
    <xf numFmtId="10" fontId="44" fillId="13" borderId="40" xfId="17" applyNumberFormat="1" applyFont="1" applyFill="1" applyBorder="1" applyAlignment="1" applyProtection="1">
      <alignment horizontal="center"/>
      <protection hidden="1"/>
    </xf>
    <xf numFmtId="43" fontId="44" fillId="13" borderId="41" xfId="18" applyFont="1" applyFill="1" applyBorder="1" applyAlignment="1" applyProtection="1">
      <alignment horizontal="center"/>
      <protection hidden="1"/>
    </xf>
    <xf numFmtId="0" fontId="44" fillId="13" borderId="42" xfId="0" applyFont="1" applyFill="1" applyBorder="1" applyAlignment="1" applyProtection="1">
      <alignment horizontal="center"/>
      <protection hidden="1"/>
    </xf>
    <xf numFmtId="43" fontId="0" fillId="9" borderId="7" xfId="0" applyNumberFormat="1" applyFont="1" applyFill="1" applyBorder="1" applyAlignment="1" applyProtection="1">
      <alignment vertical="center"/>
      <protection hidden="1"/>
    </xf>
    <xf numFmtId="0" fontId="0" fillId="9" borderId="7" xfId="0" applyFill="1" applyBorder="1" applyAlignment="1" applyProtection="1">
      <alignment vertical="center"/>
      <protection hidden="1"/>
    </xf>
    <xf numFmtId="0" fontId="0" fillId="9" borderId="8" xfId="0" applyFill="1" applyBorder="1" applyAlignment="1" applyProtection="1">
      <alignment vertical="center"/>
      <protection hidden="1"/>
    </xf>
    <xf numFmtId="0" fontId="0" fillId="9" borderId="12" xfId="0" applyFill="1" applyBorder="1" applyAlignment="1" applyProtection="1">
      <alignment vertical="center"/>
      <protection hidden="1"/>
    </xf>
    <xf numFmtId="0" fontId="0" fillId="9" borderId="13" xfId="0" applyFill="1" applyBorder="1" applyAlignment="1" applyProtection="1">
      <alignment vertical="center"/>
      <protection hidden="1"/>
    </xf>
    <xf numFmtId="10" fontId="1" fillId="13" borderId="5" xfId="17" applyNumberFormat="1" applyFont="1" applyFill="1" applyBorder="1" applyAlignment="1" applyProtection="1">
      <alignment horizontal="center"/>
      <protection hidden="1"/>
    </xf>
    <xf numFmtId="0" fontId="1" fillId="13" borderId="37" xfId="0" applyFont="1" applyFill="1" applyBorder="1" applyAlignment="1" applyProtection="1">
      <alignment horizontal="center"/>
      <protection hidden="1"/>
    </xf>
    <xf numFmtId="0" fontId="62" fillId="0" borderId="0" xfId="0" applyFont="1" applyAlignment="1">
      <alignment/>
    </xf>
    <xf numFmtId="0" fontId="63" fillId="2" borderId="6" xfId="0" applyFont="1" applyFill="1" applyBorder="1" applyAlignment="1" applyProtection="1">
      <alignment horizontal="center"/>
      <protection hidden="1"/>
    </xf>
    <xf numFmtId="0" fontId="63" fillId="2" borderId="7" xfId="0" applyFont="1" applyFill="1" applyBorder="1" applyAlignment="1" applyProtection="1">
      <alignment horizontal="center"/>
      <protection hidden="1"/>
    </xf>
    <xf numFmtId="0" fontId="63" fillId="2" borderId="7" xfId="0" applyFont="1" applyFill="1" applyBorder="1" applyAlignment="1" applyProtection="1">
      <alignment/>
      <protection hidden="1"/>
    </xf>
    <xf numFmtId="0" fontId="63" fillId="2" borderId="8" xfId="0" applyFont="1" applyFill="1" applyBorder="1" applyAlignment="1" applyProtection="1">
      <alignment/>
      <protection hidden="1"/>
    </xf>
    <xf numFmtId="0" fontId="64" fillId="2" borderId="9" xfId="0" applyFont="1" applyFill="1" applyBorder="1" applyAlignment="1" applyProtection="1">
      <alignment/>
      <protection hidden="1"/>
    </xf>
    <xf numFmtId="0" fontId="65" fillId="2" borderId="0" xfId="0" applyFont="1" applyFill="1" applyBorder="1" applyAlignment="1" applyProtection="1">
      <alignment vertical="center"/>
      <protection hidden="1"/>
    </xf>
    <xf numFmtId="0" fontId="62" fillId="2" borderId="0" xfId="0" applyFont="1" applyFill="1" applyBorder="1" applyAlignment="1" applyProtection="1">
      <alignment/>
      <protection hidden="1"/>
    </xf>
    <xf numFmtId="0" fontId="62" fillId="2" borderId="10" xfId="0" applyFont="1" applyFill="1" applyBorder="1" applyAlignment="1" applyProtection="1">
      <alignment/>
      <protection hidden="1"/>
    </xf>
    <xf numFmtId="0" fontId="64" fillId="2" borderId="11" xfId="0" applyFont="1" applyFill="1" applyBorder="1" applyAlignment="1" applyProtection="1">
      <alignment/>
      <protection hidden="1"/>
    </xf>
    <xf numFmtId="0" fontId="65" fillId="2" borderId="12" xfId="0" applyFont="1" applyFill="1" applyBorder="1" applyAlignment="1" applyProtection="1">
      <alignment vertical="center"/>
      <protection hidden="1"/>
    </xf>
    <xf numFmtId="0" fontId="62" fillId="2" borderId="12" xfId="0" applyFont="1" applyFill="1" applyBorder="1" applyAlignment="1" applyProtection="1">
      <alignment/>
      <protection hidden="1"/>
    </xf>
    <xf numFmtId="0" fontId="62" fillId="2" borderId="13" xfId="0" applyFont="1" applyFill="1" applyBorder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3" fillId="15" borderId="6" xfId="0" applyFont="1" applyFill="1" applyBorder="1" applyAlignment="1" applyProtection="1">
      <alignment/>
      <protection hidden="1"/>
    </xf>
    <xf numFmtId="0" fontId="63" fillId="15" borderId="7" xfId="0" applyFont="1" applyFill="1" applyBorder="1" applyAlignment="1" applyProtection="1">
      <alignment/>
      <protection hidden="1"/>
    </xf>
    <xf numFmtId="0" fontId="63" fillId="15" borderId="8" xfId="0" applyFont="1" applyFill="1" applyBorder="1" applyAlignment="1" applyProtection="1">
      <alignment/>
      <protection hidden="1"/>
    </xf>
    <xf numFmtId="0" fontId="62" fillId="15" borderId="9" xfId="0" applyFont="1" applyFill="1" applyBorder="1" applyAlignment="1" applyProtection="1">
      <alignment horizontal="center"/>
      <protection hidden="1"/>
    </xf>
    <xf numFmtId="0" fontId="62" fillId="15" borderId="0" xfId="0" applyFont="1" applyFill="1" applyBorder="1" applyAlignment="1" applyProtection="1">
      <alignment horizontal="center"/>
      <protection hidden="1"/>
    </xf>
    <xf numFmtId="0" fontId="62" fillId="15" borderId="10" xfId="0" applyFont="1" applyFill="1" applyBorder="1" applyAlignment="1" applyProtection="1">
      <alignment horizontal="center"/>
      <protection hidden="1"/>
    </xf>
    <xf numFmtId="43" fontId="64" fillId="15" borderId="0" xfId="18" applyFont="1" applyFill="1" applyBorder="1" applyAlignment="1" applyProtection="1">
      <alignment/>
      <protection hidden="1"/>
    </xf>
    <xf numFmtId="10" fontId="64" fillId="15" borderId="0" xfId="17" applyNumberFormat="1" applyFont="1" applyFill="1" applyBorder="1" applyAlignment="1" applyProtection="1">
      <alignment/>
      <protection hidden="1"/>
    </xf>
    <xf numFmtId="43" fontId="64" fillId="15" borderId="0" xfId="18" applyFont="1" applyFill="1" applyBorder="1" applyAlignment="1" applyProtection="1">
      <alignment horizontal="center"/>
      <protection hidden="1"/>
    </xf>
    <xf numFmtId="43" fontId="64" fillId="15" borderId="10" xfId="18" applyFont="1" applyFill="1" applyBorder="1" applyAlignment="1" applyProtection="1">
      <alignment/>
      <protection hidden="1"/>
    </xf>
    <xf numFmtId="0" fontId="62" fillId="15" borderId="11" xfId="0" applyFont="1" applyFill="1" applyBorder="1" applyAlignment="1" applyProtection="1">
      <alignment horizontal="center"/>
      <protection hidden="1"/>
    </xf>
    <xf numFmtId="43" fontId="64" fillId="15" borderId="12" xfId="18" applyFont="1" applyFill="1" applyBorder="1" applyAlignment="1" applyProtection="1">
      <alignment/>
      <protection hidden="1"/>
    </xf>
    <xf numFmtId="10" fontId="64" fillId="15" borderId="12" xfId="17" applyNumberFormat="1" applyFont="1" applyFill="1" applyBorder="1" applyAlignment="1" applyProtection="1">
      <alignment/>
      <protection hidden="1"/>
    </xf>
    <xf numFmtId="43" fontId="64" fillId="15" borderId="13" xfId="18" applyFont="1" applyFill="1" applyBorder="1" applyAlignment="1" applyProtection="1">
      <alignment/>
      <protection hidden="1"/>
    </xf>
    <xf numFmtId="0" fontId="62" fillId="2" borderId="6" xfId="0" applyFont="1" applyFill="1" applyBorder="1" applyAlignment="1" applyProtection="1">
      <alignment/>
      <protection hidden="1"/>
    </xf>
    <xf numFmtId="0" fontId="62" fillId="2" borderId="7" xfId="0" applyFont="1" applyFill="1" applyBorder="1" applyAlignment="1" applyProtection="1">
      <alignment/>
      <protection hidden="1"/>
    </xf>
    <xf numFmtId="0" fontId="62" fillId="2" borderId="8" xfId="0" applyFont="1" applyFill="1" applyBorder="1" applyAlignment="1" applyProtection="1">
      <alignment/>
      <protection hidden="1"/>
    </xf>
    <xf numFmtId="0" fontId="62" fillId="2" borderId="9" xfId="0" applyFont="1" applyFill="1" applyBorder="1" applyAlignment="1" applyProtection="1">
      <alignment horizontal="center"/>
      <protection hidden="1"/>
    </xf>
    <xf numFmtId="0" fontId="62" fillId="2" borderId="0" xfId="0" applyFont="1" applyFill="1" applyBorder="1" applyAlignment="1" applyProtection="1">
      <alignment horizontal="center"/>
      <protection hidden="1"/>
    </xf>
    <xf numFmtId="0" fontId="62" fillId="2" borderId="10" xfId="0" applyFont="1" applyFill="1" applyBorder="1" applyAlignment="1" applyProtection="1">
      <alignment horizontal="center"/>
      <protection hidden="1"/>
    </xf>
    <xf numFmtId="0" fontId="66" fillId="2" borderId="9" xfId="0" applyFont="1" applyFill="1" applyBorder="1" applyAlignment="1" applyProtection="1">
      <alignment/>
      <protection hidden="1"/>
    </xf>
    <xf numFmtId="0" fontId="66" fillId="2" borderId="0" xfId="0" applyFont="1" applyFill="1" applyBorder="1" applyAlignment="1" applyProtection="1">
      <alignment/>
      <protection hidden="1"/>
    </xf>
    <xf numFmtId="0" fontId="66" fillId="2" borderId="10" xfId="0" applyFont="1" applyFill="1" applyBorder="1" applyAlignment="1" applyProtection="1">
      <alignment/>
      <protection hidden="1"/>
    </xf>
    <xf numFmtId="0" fontId="66" fillId="2" borderId="11" xfId="0" applyFont="1" applyFill="1" applyBorder="1" applyAlignment="1" applyProtection="1">
      <alignment/>
      <protection hidden="1"/>
    </xf>
    <xf numFmtId="0" fontId="66" fillId="2" borderId="12" xfId="0" applyFont="1" applyFill="1" applyBorder="1" applyAlignment="1" applyProtection="1">
      <alignment/>
      <protection hidden="1"/>
    </xf>
    <xf numFmtId="0" fontId="66" fillId="2" borderId="13" xfId="0" applyFont="1" applyFill="1" applyBorder="1" applyAlignment="1" applyProtection="1">
      <alignment/>
      <protection hidden="1"/>
    </xf>
    <xf numFmtId="0" fontId="1" fillId="9" borderId="0" xfId="0" applyFont="1" applyFill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1" fillId="16" borderId="0" xfId="0" applyFont="1" applyFill="1" applyAlignment="1" applyProtection="1">
      <alignment/>
      <protection hidden="1"/>
    </xf>
    <xf numFmtId="0" fontId="28" fillId="17" borderId="18" xfId="0" applyFont="1" applyFill="1" applyBorder="1" applyAlignment="1">
      <alignment horizontal="left"/>
    </xf>
    <xf numFmtId="0" fontId="28" fillId="17" borderId="14" xfId="0" applyFont="1" applyFill="1" applyBorder="1" applyAlignment="1">
      <alignment horizontal="center"/>
    </xf>
    <xf numFmtId="0" fontId="28" fillId="17" borderId="19" xfId="0" applyFont="1" applyFill="1" applyBorder="1" applyAlignment="1">
      <alignment horizontal="center"/>
    </xf>
    <xf numFmtId="0" fontId="34" fillId="13" borderId="0" xfId="0" applyFont="1" applyFill="1" applyAlignment="1">
      <alignment horizontal="left"/>
    </xf>
    <xf numFmtId="0" fontId="34" fillId="13" borderId="0" xfId="0" applyFont="1" applyFill="1" applyAlignment="1">
      <alignment horizontal="center"/>
    </xf>
    <xf numFmtId="0" fontId="67" fillId="17" borderId="14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9" fillId="17" borderId="0" xfId="0" applyFont="1" applyFill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26" fillId="17" borderId="18" xfId="0" applyFont="1" applyFill="1" applyBorder="1" applyAlignment="1">
      <alignment horizontal="center"/>
    </xf>
    <xf numFmtId="0" fontId="26" fillId="17" borderId="14" xfId="0" applyFont="1" applyFill="1" applyBorder="1" applyAlignment="1">
      <alignment horizontal="center"/>
    </xf>
    <xf numFmtId="0" fontId="26" fillId="17" borderId="19" xfId="0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14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0" fillId="6" borderId="0" xfId="0" applyFill="1" applyAlignment="1">
      <alignment vertical="top" wrapText="1"/>
    </xf>
    <xf numFmtId="0" fontId="17" fillId="18" borderId="18" xfId="0" applyFont="1" applyFill="1" applyBorder="1" applyAlignment="1">
      <alignment horizontal="center"/>
    </xf>
    <xf numFmtId="0" fontId="17" fillId="18" borderId="19" xfId="0" applyFont="1" applyFill="1" applyBorder="1" applyAlignment="1">
      <alignment horizontal="center"/>
    </xf>
    <xf numFmtId="0" fontId="0" fillId="8" borderId="6" xfId="0" applyFill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00"/>
      </font>
      <fill>
        <patternFill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1"/>
          <c:w val="0.9625"/>
          <c:h val="0.89775"/>
        </c:manualLayout>
      </c:layout>
      <c:areaChart>
        <c:grouping val="stacked"/>
        <c:varyColors val="0"/>
        <c:ser>
          <c:idx val="1"/>
          <c:order val="0"/>
          <c:tx>
            <c:strRef>
              <c:f>'Ser-Price'!$D$12</c:f>
              <c:strCache>
                <c:ptCount val="1"/>
                <c:pt idx="0">
                  <c:v>Juros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'Ser-Price'!$B$13:$B$18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'Ser-Price'!$D$13:$D$18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'Ser-Price'!$E$12</c:f>
              <c:strCache>
                <c:ptCount val="1"/>
                <c:pt idx="0">
                  <c:v>Amortização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C0C0C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'Ser-Price'!$B$13:$B$18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'Ser-Price'!$E$13:$E$18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212586"/>
        <c:axId val="63151227"/>
      </c:area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2125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75"/>
          <c:y val="0.66675"/>
          <c:w val="0.47225"/>
          <c:h val="0.077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1"/>
          <c:w val="0.9625"/>
          <c:h val="0.89775"/>
        </c:manualLayout>
      </c:layout>
      <c:areaChart>
        <c:grouping val="stacked"/>
        <c:varyColors val="0"/>
        <c:ser>
          <c:idx val="1"/>
          <c:order val="0"/>
          <c:tx>
            <c:strRef>
              <c:f>'Ser-Sac'!$D$12</c:f>
              <c:strCache>
                <c:ptCount val="1"/>
                <c:pt idx="0">
                  <c:v>Juros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'Ser-Sac'!$B$13:$B$18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'Ser-Sac'!$D$13:$D$18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'Ser-Sac'!$E$12</c:f>
              <c:strCache>
                <c:ptCount val="1"/>
                <c:pt idx="0">
                  <c:v>Amortização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C0C0C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'Ser-Sac'!$B$13:$B$18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'Ser-Sac'!$E$13:$E$18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490132"/>
        <c:axId val="14975733"/>
      </c:area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490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518"/>
          <c:w val="0.47225"/>
          <c:h val="0.077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'Não Uniforme'!$B$10:$B$24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'Não Uniforme'!$C$10:$C$24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500"/>
        <c:axId val="563870"/>
        <c:axId val="5074831"/>
      </c:barChart>
      <c:catAx>
        <c:axId val="56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4831"/>
        <c:crosses val="autoZero"/>
        <c:auto val="1"/>
        <c:lblOffset val="100"/>
        <c:noMultiLvlLbl val="0"/>
      </c:catAx>
      <c:valAx>
        <c:axId val="507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7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Desiguais'!$B$10:$B$24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'T Desiguais'!$C$10:$C$24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500"/>
        <c:axId val="45673480"/>
        <c:axId val="8408137"/>
      </c:bar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08137"/>
        <c:crosses val="autoZero"/>
        <c:auto val="1"/>
        <c:lblOffset val="100"/>
        <c:noMultiLvlLbl val="0"/>
      </c:catAx>
      <c:valAx>
        <c:axId val="8408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7348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76200</xdr:rowOff>
    </xdr:from>
    <xdr:to>
      <xdr:col>3</xdr:col>
      <xdr:colOff>409575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6200"/>
          <a:ext cx="14382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</xdr:row>
      <xdr:rowOff>57150</xdr:rowOff>
    </xdr:from>
    <xdr:to>
      <xdr:col>6</xdr:col>
      <xdr:colOff>66675</xdr:colOff>
      <xdr:row>17</xdr:row>
      <xdr:rowOff>104775</xdr:rowOff>
    </xdr:to>
    <xdr:sp macro="[0]!IrMenu">
      <xdr:nvSpPr>
        <xdr:cNvPr id="2" name="AutoShape 2"/>
        <xdr:cNvSpPr>
          <a:spLocks/>
        </xdr:cNvSpPr>
      </xdr:nvSpPr>
      <xdr:spPr>
        <a:xfrm>
          <a:off x="2495550" y="2562225"/>
          <a:ext cx="1228725" cy="5334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6</xdr:col>
      <xdr:colOff>209550</xdr:colOff>
      <xdr:row>14</xdr:row>
      <xdr:rowOff>57150</xdr:rowOff>
    </xdr:from>
    <xdr:to>
      <xdr:col>8</xdr:col>
      <xdr:colOff>219075</xdr:colOff>
      <xdr:row>17</xdr:row>
      <xdr:rowOff>104775</xdr:rowOff>
    </xdr:to>
    <xdr:sp macro="[0]!Ir_MatFin">
      <xdr:nvSpPr>
        <xdr:cNvPr id="3" name="AutoShape 3"/>
        <xdr:cNvSpPr>
          <a:spLocks/>
        </xdr:cNvSpPr>
      </xdr:nvSpPr>
      <xdr:spPr>
        <a:xfrm>
          <a:off x="3867150" y="2562225"/>
          <a:ext cx="1228725" cy="5334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Conceitos de Mat. Financ.</a:t>
          </a:r>
        </a:p>
      </xdr:txBody>
    </xdr:sp>
    <xdr:clientData/>
  </xdr:twoCellAnchor>
  <xdr:twoCellAnchor>
    <xdr:from>
      <xdr:col>8</xdr:col>
      <xdr:colOff>361950</xdr:colOff>
      <xdr:row>14</xdr:row>
      <xdr:rowOff>57150</xdr:rowOff>
    </xdr:from>
    <xdr:to>
      <xdr:col>10</xdr:col>
      <xdr:colOff>371475</xdr:colOff>
      <xdr:row>17</xdr:row>
      <xdr:rowOff>104775</xdr:rowOff>
    </xdr:to>
    <xdr:sp macro="[0]!Ir_autor">
      <xdr:nvSpPr>
        <xdr:cNvPr id="4" name="AutoShape 4"/>
        <xdr:cNvSpPr>
          <a:spLocks/>
        </xdr:cNvSpPr>
      </xdr:nvSpPr>
      <xdr:spPr>
        <a:xfrm>
          <a:off x="5238750" y="2562225"/>
          <a:ext cx="1504950" cy="5334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Autores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1247775</xdr:colOff>
      <xdr:row>11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2324100"/>
          <a:ext cx="110490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1247775</xdr:colOff>
      <xdr:row>11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2324100"/>
          <a:ext cx="110490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1114425</xdr:colOff>
      <xdr:row>11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2324100"/>
          <a:ext cx="9715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1000125</xdr:colOff>
      <xdr:row>11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2324100"/>
          <a:ext cx="8572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1000125</xdr:colOff>
      <xdr:row>11</xdr:row>
      <xdr:rowOff>85725</xdr:rowOff>
    </xdr:to>
    <xdr:sp macro="[0]!IrMenu">
      <xdr:nvSpPr>
        <xdr:cNvPr id="1" name="AutoShape 7"/>
        <xdr:cNvSpPr>
          <a:spLocks/>
        </xdr:cNvSpPr>
      </xdr:nvSpPr>
      <xdr:spPr>
        <a:xfrm>
          <a:off x="6362700" y="2324100"/>
          <a:ext cx="8572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200025</xdr:rowOff>
    </xdr:from>
    <xdr:to>
      <xdr:col>7</xdr:col>
      <xdr:colOff>1190625</xdr:colOff>
      <xdr:row>9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1809750"/>
          <a:ext cx="10477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200025</xdr:rowOff>
    </xdr:from>
    <xdr:to>
      <xdr:col>7</xdr:col>
      <xdr:colOff>1190625</xdr:colOff>
      <xdr:row>9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1809750"/>
          <a:ext cx="10477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200025</xdr:rowOff>
    </xdr:from>
    <xdr:to>
      <xdr:col>7</xdr:col>
      <xdr:colOff>1190625</xdr:colOff>
      <xdr:row>9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1809750"/>
          <a:ext cx="10477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200025</xdr:rowOff>
    </xdr:from>
    <xdr:to>
      <xdr:col>7</xdr:col>
      <xdr:colOff>1190625</xdr:colOff>
      <xdr:row>9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1809750"/>
          <a:ext cx="10477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200025</xdr:rowOff>
    </xdr:from>
    <xdr:to>
      <xdr:col>7</xdr:col>
      <xdr:colOff>1190625</xdr:colOff>
      <xdr:row>9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1809750"/>
          <a:ext cx="10477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16</xdr:row>
      <xdr:rowOff>104775</xdr:rowOff>
    </xdr:from>
    <xdr:to>
      <xdr:col>11</xdr:col>
      <xdr:colOff>0</xdr:colOff>
      <xdr:row>20</xdr:row>
      <xdr:rowOff>76200</xdr:rowOff>
    </xdr:to>
    <xdr:sp macro="[0]!Ir_geral">
      <xdr:nvSpPr>
        <xdr:cNvPr id="1" name="AutoShape 1"/>
        <xdr:cNvSpPr>
          <a:spLocks/>
        </xdr:cNvSpPr>
      </xdr:nvSpPr>
      <xdr:spPr>
        <a:xfrm>
          <a:off x="4171950" y="2800350"/>
          <a:ext cx="2533650" cy="619125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Modelo Geral de Matemática Financeira no Excel</a:t>
          </a:r>
        </a:p>
      </xdr:txBody>
    </xdr:sp>
    <xdr:clientData/>
  </xdr:twoCellAnchor>
  <xdr:twoCellAnchor>
    <xdr:from>
      <xdr:col>2</xdr:col>
      <xdr:colOff>200025</xdr:colOff>
      <xdr:row>6</xdr:row>
      <xdr:rowOff>85725</xdr:rowOff>
    </xdr:from>
    <xdr:to>
      <xdr:col>2</xdr:col>
      <xdr:colOff>476250</xdr:colOff>
      <xdr:row>7</xdr:row>
      <xdr:rowOff>95250</xdr:rowOff>
    </xdr:to>
    <xdr:sp macro="[0]!IrJSN">
      <xdr:nvSpPr>
        <xdr:cNvPr id="2" name="Rectangle 2"/>
        <xdr:cNvSpPr>
          <a:spLocks/>
        </xdr:cNvSpPr>
      </xdr:nvSpPr>
      <xdr:spPr>
        <a:xfrm>
          <a:off x="1419225" y="1181100"/>
          <a:ext cx="276225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3</xdr:col>
      <xdr:colOff>152400</xdr:colOff>
      <xdr:row>6</xdr:row>
      <xdr:rowOff>85725</xdr:rowOff>
    </xdr:from>
    <xdr:to>
      <xdr:col>3</xdr:col>
      <xdr:colOff>428625</xdr:colOff>
      <xdr:row>7</xdr:row>
      <xdr:rowOff>95250</xdr:rowOff>
    </xdr:to>
    <xdr:sp macro="[0]!IR_JSI">
      <xdr:nvSpPr>
        <xdr:cNvPr id="3" name="Rectangle 3"/>
        <xdr:cNvSpPr>
          <a:spLocks/>
        </xdr:cNvSpPr>
      </xdr:nvSpPr>
      <xdr:spPr>
        <a:xfrm>
          <a:off x="1981200" y="1181100"/>
          <a:ext cx="276225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104775</xdr:colOff>
      <xdr:row>6</xdr:row>
      <xdr:rowOff>85725</xdr:rowOff>
    </xdr:from>
    <xdr:to>
      <xdr:col>4</xdr:col>
      <xdr:colOff>381000</xdr:colOff>
      <xdr:row>7</xdr:row>
      <xdr:rowOff>95250</xdr:rowOff>
    </xdr:to>
    <xdr:sp macro="[0]!Ir_JSPV">
      <xdr:nvSpPr>
        <xdr:cNvPr id="4" name="Rectangle 4"/>
        <xdr:cNvSpPr>
          <a:spLocks/>
        </xdr:cNvSpPr>
      </xdr:nvSpPr>
      <xdr:spPr>
        <a:xfrm>
          <a:off x="2543175" y="1181100"/>
          <a:ext cx="276225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PV</a:t>
          </a:r>
        </a:p>
      </xdr:txBody>
    </xdr:sp>
    <xdr:clientData/>
  </xdr:twoCellAnchor>
  <xdr:twoCellAnchor>
    <xdr:from>
      <xdr:col>5</xdr:col>
      <xdr:colOff>66675</xdr:colOff>
      <xdr:row>6</xdr:row>
      <xdr:rowOff>85725</xdr:rowOff>
    </xdr:from>
    <xdr:to>
      <xdr:col>5</xdr:col>
      <xdr:colOff>342900</xdr:colOff>
      <xdr:row>7</xdr:row>
      <xdr:rowOff>95250</xdr:rowOff>
    </xdr:to>
    <xdr:sp macro="[0]!Ir_JSFV">
      <xdr:nvSpPr>
        <xdr:cNvPr id="5" name="Rectangle 5"/>
        <xdr:cNvSpPr>
          <a:spLocks/>
        </xdr:cNvSpPr>
      </xdr:nvSpPr>
      <xdr:spPr>
        <a:xfrm>
          <a:off x="3114675" y="1181100"/>
          <a:ext cx="276225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FV</a:t>
          </a:r>
        </a:p>
      </xdr:txBody>
    </xdr:sp>
    <xdr:clientData/>
  </xdr:twoCellAnchor>
  <xdr:twoCellAnchor>
    <xdr:from>
      <xdr:col>2</xdr:col>
      <xdr:colOff>209550</xdr:colOff>
      <xdr:row>10</xdr:row>
      <xdr:rowOff>76200</xdr:rowOff>
    </xdr:from>
    <xdr:to>
      <xdr:col>2</xdr:col>
      <xdr:colOff>485775</xdr:colOff>
      <xdr:row>11</xdr:row>
      <xdr:rowOff>85725</xdr:rowOff>
    </xdr:to>
    <xdr:sp macro="[0]!Ir_DBN">
      <xdr:nvSpPr>
        <xdr:cNvPr id="6" name="Rectangle 6"/>
        <xdr:cNvSpPr>
          <a:spLocks/>
        </xdr:cNvSpPr>
      </xdr:nvSpPr>
      <xdr:spPr>
        <a:xfrm>
          <a:off x="1428750" y="1809750"/>
          <a:ext cx="276225" cy="1714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3</xdr:col>
      <xdr:colOff>161925</xdr:colOff>
      <xdr:row>10</xdr:row>
      <xdr:rowOff>76200</xdr:rowOff>
    </xdr:from>
    <xdr:to>
      <xdr:col>3</xdr:col>
      <xdr:colOff>438150</xdr:colOff>
      <xdr:row>11</xdr:row>
      <xdr:rowOff>85725</xdr:rowOff>
    </xdr:to>
    <xdr:sp macro="[0]!Ir_DBI">
      <xdr:nvSpPr>
        <xdr:cNvPr id="7" name="Rectangle 7"/>
        <xdr:cNvSpPr>
          <a:spLocks/>
        </xdr:cNvSpPr>
      </xdr:nvSpPr>
      <xdr:spPr>
        <a:xfrm>
          <a:off x="1990725" y="1809750"/>
          <a:ext cx="276225" cy="1714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114300</xdr:colOff>
      <xdr:row>10</xdr:row>
      <xdr:rowOff>76200</xdr:rowOff>
    </xdr:from>
    <xdr:to>
      <xdr:col>4</xdr:col>
      <xdr:colOff>390525</xdr:colOff>
      <xdr:row>11</xdr:row>
      <xdr:rowOff>85725</xdr:rowOff>
    </xdr:to>
    <xdr:sp macro="[0]!Ir_DBPV">
      <xdr:nvSpPr>
        <xdr:cNvPr id="8" name="Rectangle 8"/>
        <xdr:cNvSpPr>
          <a:spLocks/>
        </xdr:cNvSpPr>
      </xdr:nvSpPr>
      <xdr:spPr>
        <a:xfrm>
          <a:off x="2552700" y="1809750"/>
          <a:ext cx="276225" cy="1714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PV</a:t>
          </a:r>
        </a:p>
      </xdr:txBody>
    </xdr:sp>
    <xdr:clientData/>
  </xdr:twoCellAnchor>
  <xdr:twoCellAnchor>
    <xdr:from>
      <xdr:col>5</xdr:col>
      <xdr:colOff>76200</xdr:colOff>
      <xdr:row>10</xdr:row>
      <xdr:rowOff>76200</xdr:rowOff>
    </xdr:from>
    <xdr:to>
      <xdr:col>5</xdr:col>
      <xdr:colOff>352425</xdr:colOff>
      <xdr:row>11</xdr:row>
      <xdr:rowOff>85725</xdr:rowOff>
    </xdr:to>
    <xdr:sp macro="[0]!Ir_DBFV">
      <xdr:nvSpPr>
        <xdr:cNvPr id="9" name="Rectangle 9"/>
        <xdr:cNvSpPr>
          <a:spLocks/>
        </xdr:cNvSpPr>
      </xdr:nvSpPr>
      <xdr:spPr>
        <a:xfrm>
          <a:off x="3124200" y="1809750"/>
          <a:ext cx="276225" cy="1714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FV</a:t>
          </a:r>
        </a:p>
      </xdr:txBody>
    </xdr:sp>
    <xdr:clientData/>
  </xdr:twoCellAnchor>
  <xdr:twoCellAnchor>
    <xdr:from>
      <xdr:col>2</xdr:col>
      <xdr:colOff>219075</xdr:colOff>
      <xdr:row>14</xdr:row>
      <xdr:rowOff>76200</xdr:rowOff>
    </xdr:from>
    <xdr:to>
      <xdr:col>2</xdr:col>
      <xdr:colOff>495300</xdr:colOff>
      <xdr:row>15</xdr:row>
      <xdr:rowOff>85725</xdr:rowOff>
    </xdr:to>
    <xdr:sp macro="[0]!Ir_JCN">
      <xdr:nvSpPr>
        <xdr:cNvPr id="10" name="Rectangle 10"/>
        <xdr:cNvSpPr>
          <a:spLocks/>
        </xdr:cNvSpPr>
      </xdr:nvSpPr>
      <xdr:spPr>
        <a:xfrm>
          <a:off x="1438275" y="2438400"/>
          <a:ext cx="276225" cy="1714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3</xdr:col>
      <xdr:colOff>171450</xdr:colOff>
      <xdr:row>14</xdr:row>
      <xdr:rowOff>76200</xdr:rowOff>
    </xdr:from>
    <xdr:to>
      <xdr:col>3</xdr:col>
      <xdr:colOff>447675</xdr:colOff>
      <xdr:row>15</xdr:row>
      <xdr:rowOff>85725</xdr:rowOff>
    </xdr:to>
    <xdr:sp macro="[0]!Ir_JCI">
      <xdr:nvSpPr>
        <xdr:cNvPr id="11" name="Rectangle 11"/>
        <xdr:cNvSpPr>
          <a:spLocks/>
        </xdr:cNvSpPr>
      </xdr:nvSpPr>
      <xdr:spPr>
        <a:xfrm>
          <a:off x="2000250" y="2438400"/>
          <a:ext cx="276225" cy="1714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123825</xdr:colOff>
      <xdr:row>14</xdr:row>
      <xdr:rowOff>76200</xdr:rowOff>
    </xdr:from>
    <xdr:to>
      <xdr:col>4</xdr:col>
      <xdr:colOff>400050</xdr:colOff>
      <xdr:row>15</xdr:row>
      <xdr:rowOff>85725</xdr:rowOff>
    </xdr:to>
    <xdr:sp macro="[0]!Ir_JCPV">
      <xdr:nvSpPr>
        <xdr:cNvPr id="12" name="Rectangle 12"/>
        <xdr:cNvSpPr>
          <a:spLocks/>
        </xdr:cNvSpPr>
      </xdr:nvSpPr>
      <xdr:spPr>
        <a:xfrm>
          <a:off x="2562225" y="2438400"/>
          <a:ext cx="276225" cy="1714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PV</a:t>
          </a:r>
        </a:p>
      </xdr:txBody>
    </xdr:sp>
    <xdr:clientData/>
  </xdr:twoCellAnchor>
  <xdr:twoCellAnchor>
    <xdr:from>
      <xdr:col>5</xdr:col>
      <xdr:colOff>85725</xdr:colOff>
      <xdr:row>14</xdr:row>
      <xdr:rowOff>76200</xdr:rowOff>
    </xdr:from>
    <xdr:to>
      <xdr:col>5</xdr:col>
      <xdr:colOff>361950</xdr:colOff>
      <xdr:row>15</xdr:row>
      <xdr:rowOff>85725</xdr:rowOff>
    </xdr:to>
    <xdr:sp macro="[0]!Ir_JCFV">
      <xdr:nvSpPr>
        <xdr:cNvPr id="13" name="Rectangle 13"/>
        <xdr:cNvSpPr>
          <a:spLocks/>
        </xdr:cNvSpPr>
      </xdr:nvSpPr>
      <xdr:spPr>
        <a:xfrm>
          <a:off x="3133725" y="2438400"/>
          <a:ext cx="276225" cy="1714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FV</a:t>
          </a:r>
        </a:p>
      </xdr:txBody>
    </xdr:sp>
    <xdr:clientData/>
  </xdr:twoCellAnchor>
  <xdr:twoCellAnchor>
    <xdr:from>
      <xdr:col>2</xdr:col>
      <xdr:colOff>66675</xdr:colOff>
      <xdr:row>16</xdr:row>
      <xdr:rowOff>104775</xdr:rowOff>
    </xdr:from>
    <xdr:to>
      <xdr:col>3</xdr:col>
      <xdr:colOff>552450</xdr:colOff>
      <xdr:row>20</xdr:row>
      <xdr:rowOff>47625</xdr:rowOff>
    </xdr:to>
    <xdr:sp macro="[0]!Ir_Inicio">
      <xdr:nvSpPr>
        <xdr:cNvPr id="14" name="AutoShape 15"/>
        <xdr:cNvSpPr>
          <a:spLocks/>
        </xdr:cNvSpPr>
      </xdr:nvSpPr>
      <xdr:spPr>
        <a:xfrm>
          <a:off x="1285875" y="2800350"/>
          <a:ext cx="1095375" cy="5905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Início</a:t>
          </a:r>
        </a:p>
      </xdr:txBody>
    </xdr:sp>
    <xdr:clientData/>
  </xdr:twoCellAnchor>
  <xdr:twoCellAnchor>
    <xdr:from>
      <xdr:col>7</xdr:col>
      <xdr:colOff>114300</xdr:colOff>
      <xdr:row>6</xdr:row>
      <xdr:rowOff>76200</xdr:rowOff>
    </xdr:from>
    <xdr:to>
      <xdr:col>7</xdr:col>
      <xdr:colOff>390525</xdr:colOff>
      <xdr:row>7</xdr:row>
      <xdr:rowOff>85725</xdr:rowOff>
    </xdr:to>
    <xdr:sp macro="[0]!Ir_Serie_n">
      <xdr:nvSpPr>
        <xdr:cNvPr id="15" name="Rectangle 16"/>
        <xdr:cNvSpPr>
          <a:spLocks/>
        </xdr:cNvSpPr>
      </xdr:nvSpPr>
      <xdr:spPr>
        <a:xfrm>
          <a:off x="4381500" y="1171575"/>
          <a:ext cx="276225" cy="17145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7</xdr:col>
      <xdr:colOff>571500</xdr:colOff>
      <xdr:row>6</xdr:row>
      <xdr:rowOff>76200</xdr:rowOff>
    </xdr:from>
    <xdr:to>
      <xdr:col>8</xdr:col>
      <xdr:colOff>238125</xdr:colOff>
      <xdr:row>7</xdr:row>
      <xdr:rowOff>85725</xdr:rowOff>
    </xdr:to>
    <xdr:sp macro="[0]!Ir_serie_i">
      <xdr:nvSpPr>
        <xdr:cNvPr id="16" name="Rectangle 17"/>
        <xdr:cNvSpPr>
          <a:spLocks/>
        </xdr:cNvSpPr>
      </xdr:nvSpPr>
      <xdr:spPr>
        <a:xfrm>
          <a:off x="4838700" y="1171575"/>
          <a:ext cx="276225" cy="17145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8</xdr:col>
      <xdr:colOff>428625</xdr:colOff>
      <xdr:row>6</xdr:row>
      <xdr:rowOff>76200</xdr:rowOff>
    </xdr:from>
    <xdr:to>
      <xdr:col>9</xdr:col>
      <xdr:colOff>95250</xdr:colOff>
      <xdr:row>7</xdr:row>
      <xdr:rowOff>85725</xdr:rowOff>
    </xdr:to>
    <xdr:sp macro="[0]!Ir_serie_pv">
      <xdr:nvSpPr>
        <xdr:cNvPr id="17" name="Rectangle 18"/>
        <xdr:cNvSpPr>
          <a:spLocks/>
        </xdr:cNvSpPr>
      </xdr:nvSpPr>
      <xdr:spPr>
        <a:xfrm>
          <a:off x="5305425" y="1171575"/>
          <a:ext cx="276225" cy="17145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PV</a:t>
          </a:r>
        </a:p>
      </xdr:txBody>
    </xdr:sp>
    <xdr:clientData/>
  </xdr:twoCellAnchor>
  <xdr:twoCellAnchor>
    <xdr:from>
      <xdr:col>10</xdr:col>
      <xdr:colOff>238125</xdr:colOff>
      <xdr:row>6</xdr:row>
      <xdr:rowOff>76200</xdr:rowOff>
    </xdr:from>
    <xdr:to>
      <xdr:col>10</xdr:col>
      <xdr:colOff>514350</xdr:colOff>
      <xdr:row>7</xdr:row>
      <xdr:rowOff>85725</xdr:rowOff>
    </xdr:to>
    <xdr:sp macro="[0]!Ir_serie_vf">
      <xdr:nvSpPr>
        <xdr:cNvPr id="18" name="Rectangle 19"/>
        <xdr:cNvSpPr>
          <a:spLocks/>
        </xdr:cNvSpPr>
      </xdr:nvSpPr>
      <xdr:spPr>
        <a:xfrm>
          <a:off x="6334125" y="1171575"/>
          <a:ext cx="276225" cy="17145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FV</a:t>
          </a:r>
        </a:p>
      </xdr:txBody>
    </xdr:sp>
    <xdr:clientData/>
  </xdr:twoCellAnchor>
  <xdr:twoCellAnchor>
    <xdr:from>
      <xdr:col>7</xdr:col>
      <xdr:colOff>200025</xdr:colOff>
      <xdr:row>10</xdr:row>
      <xdr:rowOff>85725</xdr:rowOff>
    </xdr:from>
    <xdr:to>
      <xdr:col>8</xdr:col>
      <xdr:colOff>476250</xdr:colOff>
      <xdr:row>11</xdr:row>
      <xdr:rowOff>95250</xdr:rowOff>
    </xdr:to>
    <xdr:sp macro="[0]!Ir_Price">
      <xdr:nvSpPr>
        <xdr:cNvPr id="19" name="Rectangle 20"/>
        <xdr:cNvSpPr>
          <a:spLocks/>
        </xdr:cNvSpPr>
      </xdr:nvSpPr>
      <xdr:spPr>
        <a:xfrm>
          <a:off x="4467225" y="1819275"/>
          <a:ext cx="885825" cy="17145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Price</a:t>
          </a:r>
        </a:p>
      </xdr:txBody>
    </xdr:sp>
    <xdr:clientData/>
  </xdr:twoCellAnchor>
  <xdr:twoCellAnchor>
    <xdr:from>
      <xdr:col>9</xdr:col>
      <xdr:colOff>57150</xdr:colOff>
      <xdr:row>10</xdr:row>
      <xdr:rowOff>76200</xdr:rowOff>
    </xdr:from>
    <xdr:to>
      <xdr:col>10</xdr:col>
      <xdr:colOff>333375</xdr:colOff>
      <xdr:row>11</xdr:row>
      <xdr:rowOff>85725</xdr:rowOff>
    </xdr:to>
    <xdr:sp macro="[0]!Ir_SAC">
      <xdr:nvSpPr>
        <xdr:cNvPr id="20" name="Rectangle 24"/>
        <xdr:cNvSpPr>
          <a:spLocks/>
        </xdr:cNvSpPr>
      </xdr:nvSpPr>
      <xdr:spPr>
        <a:xfrm>
          <a:off x="5543550" y="1809750"/>
          <a:ext cx="885825" cy="17145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SAC</a:t>
          </a:r>
        </a:p>
      </xdr:txBody>
    </xdr:sp>
    <xdr:clientData/>
  </xdr:twoCellAnchor>
  <xdr:twoCellAnchor>
    <xdr:from>
      <xdr:col>7</xdr:col>
      <xdr:colOff>200025</xdr:colOff>
      <xdr:row>14</xdr:row>
      <xdr:rowOff>104775</xdr:rowOff>
    </xdr:from>
    <xdr:to>
      <xdr:col>8</xdr:col>
      <xdr:colOff>476250</xdr:colOff>
      <xdr:row>15</xdr:row>
      <xdr:rowOff>95250</xdr:rowOff>
    </xdr:to>
    <xdr:sp macro="[0]!Ir_N_U">
      <xdr:nvSpPr>
        <xdr:cNvPr id="21" name="Rectangle 25"/>
        <xdr:cNvSpPr>
          <a:spLocks/>
        </xdr:cNvSpPr>
      </xdr:nvSpPr>
      <xdr:spPr>
        <a:xfrm>
          <a:off x="4467225" y="2466975"/>
          <a:ext cx="885825" cy="152400"/>
        </a:xfrm>
        <a:prstGeom prst="rect">
          <a:avLst/>
        </a:prstGeom>
        <a:solidFill>
          <a:srgbClr val="33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Ts Iguais</a:t>
          </a:r>
        </a:p>
      </xdr:txBody>
    </xdr:sp>
    <xdr:clientData/>
  </xdr:twoCellAnchor>
  <xdr:twoCellAnchor>
    <xdr:from>
      <xdr:col>9</xdr:col>
      <xdr:colOff>47625</xdr:colOff>
      <xdr:row>14</xdr:row>
      <xdr:rowOff>104775</xdr:rowOff>
    </xdr:from>
    <xdr:to>
      <xdr:col>10</xdr:col>
      <xdr:colOff>323850</xdr:colOff>
      <xdr:row>15</xdr:row>
      <xdr:rowOff>95250</xdr:rowOff>
    </xdr:to>
    <xdr:sp macro="[0]!ir_t_desiguais">
      <xdr:nvSpPr>
        <xdr:cNvPr id="22" name="Rectangle 27"/>
        <xdr:cNvSpPr>
          <a:spLocks/>
        </xdr:cNvSpPr>
      </xdr:nvSpPr>
      <xdr:spPr>
        <a:xfrm>
          <a:off x="5534025" y="2466975"/>
          <a:ext cx="885825" cy="152400"/>
        </a:xfrm>
        <a:prstGeom prst="rect">
          <a:avLst/>
        </a:prstGeom>
        <a:solidFill>
          <a:srgbClr val="33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Ts Desiguais</a:t>
          </a:r>
        </a:p>
      </xdr:txBody>
    </xdr:sp>
    <xdr:clientData/>
  </xdr:twoCellAnchor>
  <xdr:twoCellAnchor>
    <xdr:from>
      <xdr:col>4</xdr:col>
      <xdr:colOff>57150</xdr:colOff>
      <xdr:row>16</xdr:row>
      <xdr:rowOff>104775</xdr:rowOff>
    </xdr:from>
    <xdr:to>
      <xdr:col>5</xdr:col>
      <xdr:colOff>542925</xdr:colOff>
      <xdr:row>20</xdr:row>
      <xdr:rowOff>47625</xdr:rowOff>
    </xdr:to>
    <xdr:sp macro="[0]!Ir_outrasf">
      <xdr:nvSpPr>
        <xdr:cNvPr id="23" name="AutoShape 28"/>
        <xdr:cNvSpPr>
          <a:spLocks/>
        </xdr:cNvSpPr>
      </xdr:nvSpPr>
      <xdr:spPr>
        <a:xfrm>
          <a:off x="2495550" y="2800350"/>
          <a:ext cx="1095375" cy="5905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Outras Funções</a:t>
          </a:r>
        </a:p>
      </xdr:txBody>
    </xdr:sp>
    <xdr:clientData/>
  </xdr:twoCellAnchor>
  <xdr:twoCellAnchor>
    <xdr:from>
      <xdr:col>9</xdr:col>
      <xdr:colOff>285750</xdr:colOff>
      <xdr:row>6</xdr:row>
      <xdr:rowOff>76200</xdr:rowOff>
    </xdr:from>
    <xdr:to>
      <xdr:col>10</xdr:col>
      <xdr:colOff>47625</xdr:colOff>
      <xdr:row>7</xdr:row>
      <xdr:rowOff>85725</xdr:rowOff>
    </xdr:to>
    <xdr:sp macro="[0]!IrSPMT2">
      <xdr:nvSpPr>
        <xdr:cNvPr id="24" name="Rectangle 29"/>
        <xdr:cNvSpPr>
          <a:spLocks/>
        </xdr:cNvSpPr>
      </xdr:nvSpPr>
      <xdr:spPr>
        <a:xfrm>
          <a:off x="5772150" y="1171575"/>
          <a:ext cx="371475" cy="17145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PMT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97</xdr:row>
      <xdr:rowOff>85725</xdr:rowOff>
    </xdr:from>
    <xdr:to>
      <xdr:col>6</xdr:col>
      <xdr:colOff>733425</xdr:colOff>
      <xdr:row>109</xdr:row>
      <xdr:rowOff>85725</xdr:rowOff>
    </xdr:to>
    <xdr:graphicFrame>
      <xdr:nvGraphicFramePr>
        <xdr:cNvPr id="1" name="Chart 5"/>
        <xdr:cNvGraphicFramePr/>
      </xdr:nvGraphicFramePr>
      <xdr:xfrm>
        <a:off x="657225" y="16287750"/>
        <a:ext cx="49053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5</xdr:row>
      <xdr:rowOff>19050</xdr:rowOff>
    </xdr:from>
    <xdr:to>
      <xdr:col>5</xdr:col>
      <xdr:colOff>552450</xdr:colOff>
      <xdr:row>7</xdr:row>
      <xdr:rowOff>0</xdr:rowOff>
    </xdr:to>
    <xdr:sp macro="[0]!IrMenu">
      <xdr:nvSpPr>
        <xdr:cNvPr id="2" name="AutoShape 6"/>
        <xdr:cNvSpPr>
          <a:spLocks/>
        </xdr:cNvSpPr>
      </xdr:nvSpPr>
      <xdr:spPr>
        <a:xfrm>
          <a:off x="3629025" y="1162050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4</xdr:col>
      <xdr:colOff>438150</xdr:colOff>
      <xdr:row>7</xdr:row>
      <xdr:rowOff>38100</xdr:rowOff>
    </xdr:from>
    <xdr:to>
      <xdr:col>5</xdr:col>
      <xdr:colOff>552450</xdr:colOff>
      <xdr:row>9</xdr:row>
      <xdr:rowOff>9525</xdr:rowOff>
    </xdr:to>
    <xdr:sp macro="[0]!Limpa_Price">
      <xdr:nvSpPr>
        <xdr:cNvPr id="3" name="AutoShape 7"/>
        <xdr:cNvSpPr>
          <a:spLocks/>
        </xdr:cNvSpPr>
      </xdr:nvSpPr>
      <xdr:spPr>
        <a:xfrm>
          <a:off x="3629025" y="1504950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Limpa</a:t>
          </a:r>
        </a:p>
      </xdr:txBody>
    </xdr:sp>
    <xdr:clientData/>
  </xdr:twoCellAnchor>
  <xdr:twoCellAnchor>
    <xdr:from>
      <xdr:col>5</xdr:col>
      <xdr:colOff>666750</xdr:colOff>
      <xdr:row>5</xdr:row>
      <xdr:rowOff>19050</xdr:rowOff>
    </xdr:from>
    <xdr:to>
      <xdr:col>6</xdr:col>
      <xdr:colOff>781050</xdr:colOff>
      <xdr:row>7</xdr:row>
      <xdr:rowOff>0</xdr:rowOff>
    </xdr:to>
    <xdr:sp macro="[0]!Ir_gra_Price">
      <xdr:nvSpPr>
        <xdr:cNvPr id="4" name="AutoShape 8"/>
        <xdr:cNvSpPr>
          <a:spLocks/>
        </xdr:cNvSpPr>
      </xdr:nvSpPr>
      <xdr:spPr>
        <a:xfrm>
          <a:off x="4676775" y="1162050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Gráfico</a:t>
          </a:r>
        </a:p>
      </xdr:txBody>
    </xdr:sp>
    <xdr:clientData/>
  </xdr:twoCellAnchor>
  <xdr:twoCellAnchor>
    <xdr:from>
      <xdr:col>5</xdr:col>
      <xdr:colOff>619125</xdr:colOff>
      <xdr:row>95</xdr:row>
      <xdr:rowOff>57150</xdr:rowOff>
    </xdr:from>
    <xdr:to>
      <xdr:col>6</xdr:col>
      <xdr:colOff>733425</xdr:colOff>
      <xdr:row>97</xdr:row>
      <xdr:rowOff>0</xdr:rowOff>
    </xdr:to>
    <xdr:sp macro="[0]!IrMenu">
      <xdr:nvSpPr>
        <xdr:cNvPr id="5" name="AutoShape 10"/>
        <xdr:cNvSpPr>
          <a:spLocks/>
        </xdr:cNvSpPr>
      </xdr:nvSpPr>
      <xdr:spPr>
        <a:xfrm>
          <a:off x="4629150" y="15897225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4</xdr:col>
      <xdr:colOff>381000</xdr:colOff>
      <xdr:row>95</xdr:row>
      <xdr:rowOff>47625</xdr:rowOff>
    </xdr:from>
    <xdr:to>
      <xdr:col>5</xdr:col>
      <xdr:colOff>495300</xdr:colOff>
      <xdr:row>96</xdr:row>
      <xdr:rowOff>190500</xdr:rowOff>
    </xdr:to>
    <xdr:sp macro="[0]!Ir_Price">
      <xdr:nvSpPr>
        <xdr:cNvPr id="6" name="AutoShape 11"/>
        <xdr:cNvSpPr>
          <a:spLocks/>
        </xdr:cNvSpPr>
      </xdr:nvSpPr>
      <xdr:spPr>
        <a:xfrm>
          <a:off x="3571875" y="15887700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Volta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97</xdr:row>
      <xdr:rowOff>85725</xdr:rowOff>
    </xdr:from>
    <xdr:to>
      <xdr:col>6</xdr:col>
      <xdr:colOff>733425</xdr:colOff>
      <xdr:row>109</xdr:row>
      <xdr:rowOff>85725</xdr:rowOff>
    </xdr:to>
    <xdr:graphicFrame>
      <xdr:nvGraphicFramePr>
        <xdr:cNvPr id="1" name="Chart 1"/>
        <xdr:cNvGraphicFramePr/>
      </xdr:nvGraphicFramePr>
      <xdr:xfrm>
        <a:off x="657225" y="16287750"/>
        <a:ext cx="49053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5</xdr:row>
      <xdr:rowOff>19050</xdr:rowOff>
    </xdr:from>
    <xdr:to>
      <xdr:col>5</xdr:col>
      <xdr:colOff>552450</xdr:colOff>
      <xdr:row>7</xdr:row>
      <xdr:rowOff>0</xdr:rowOff>
    </xdr:to>
    <xdr:sp macro="[0]!IrMenu">
      <xdr:nvSpPr>
        <xdr:cNvPr id="2" name="AutoShape 2"/>
        <xdr:cNvSpPr>
          <a:spLocks/>
        </xdr:cNvSpPr>
      </xdr:nvSpPr>
      <xdr:spPr>
        <a:xfrm>
          <a:off x="3629025" y="1162050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4</xdr:col>
      <xdr:colOff>438150</xdr:colOff>
      <xdr:row>7</xdr:row>
      <xdr:rowOff>38100</xdr:rowOff>
    </xdr:from>
    <xdr:to>
      <xdr:col>5</xdr:col>
      <xdr:colOff>552450</xdr:colOff>
      <xdr:row>9</xdr:row>
      <xdr:rowOff>9525</xdr:rowOff>
    </xdr:to>
    <xdr:sp macro="[0]!Limpa_Sac2">
      <xdr:nvSpPr>
        <xdr:cNvPr id="3" name="AutoShape 3"/>
        <xdr:cNvSpPr>
          <a:spLocks/>
        </xdr:cNvSpPr>
      </xdr:nvSpPr>
      <xdr:spPr>
        <a:xfrm>
          <a:off x="3629025" y="1504950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Limpa</a:t>
          </a:r>
        </a:p>
      </xdr:txBody>
    </xdr:sp>
    <xdr:clientData/>
  </xdr:twoCellAnchor>
  <xdr:twoCellAnchor>
    <xdr:from>
      <xdr:col>5</xdr:col>
      <xdr:colOff>666750</xdr:colOff>
      <xdr:row>5</xdr:row>
      <xdr:rowOff>19050</xdr:rowOff>
    </xdr:from>
    <xdr:to>
      <xdr:col>6</xdr:col>
      <xdr:colOff>781050</xdr:colOff>
      <xdr:row>7</xdr:row>
      <xdr:rowOff>0</xdr:rowOff>
    </xdr:to>
    <xdr:sp macro="[0]!Ir_gra_Price">
      <xdr:nvSpPr>
        <xdr:cNvPr id="4" name="AutoShape 4"/>
        <xdr:cNvSpPr>
          <a:spLocks/>
        </xdr:cNvSpPr>
      </xdr:nvSpPr>
      <xdr:spPr>
        <a:xfrm>
          <a:off x="4676775" y="1162050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Gráfico</a:t>
          </a:r>
        </a:p>
      </xdr:txBody>
    </xdr:sp>
    <xdr:clientData/>
  </xdr:twoCellAnchor>
  <xdr:twoCellAnchor>
    <xdr:from>
      <xdr:col>5</xdr:col>
      <xdr:colOff>619125</xdr:colOff>
      <xdr:row>95</xdr:row>
      <xdr:rowOff>57150</xdr:rowOff>
    </xdr:from>
    <xdr:to>
      <xdr:col>6</xdr:col>
      <xdr:colOff>733425</xdr:colOff>
      <xdr:row>97</xdr:row>
      <xdr:rowOff>0</xdr:rowOff>
    </xdr:to>
    <xdr:sp macro="[0]!IrMenu">
      <xdr:nvSpPr>
        <xdr:cNvPr id="5" name="AutoShape 5"/>
        <xdr:cNvSpPr>
          <a:spLocks/>
        </xdr:cNvSpPr>
      </xdr:nvSpPr>
      <xdr:spPr>
        <a:xfrm>
          <a:off x="4629150" y="15897225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4</xdr:col>
      <xdr:colOff>381000</xdr:colOff>
      <xdr:row>95</xdr:row>
      <xdr:rowOff>47625</xdr:rowOff>
    </xdr:from>
    <xdr:to>
      <xdr:col>5</xdr:col>
      <xdr:colOff>495300</xdr:colOff>
      <xdr:row>96</xdr:row>
      <xdr:rowOff>190500</xdr:rowOff>
    </xdr:to>
    <xdr:sp macro="[0]!Ir_Price">
      <xdr:nvSpPr>
        <xdr:cNvPr id="6" name="AutoShape 6"/>
        <xdr:cNvSpPr>
          <a:spLocks/>
        </xdr:cNvSpPr>
      </xdr:nvSpPr>
      <xdr:spPr>
        <a:xfrm>
          <a:off x="3571875" y="15887700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Volta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5</xdr:row>
      <xdr:rowOff>38100</xdr:rowOff>
    </xdr:from>
    <xdr:to>
      <xdr:col>4</xdr:col>
      <xdr:colOff>495300</xdr:colOff>
      <xdr:row>7</xdr:row>
      <xdr:rowOff>9525</xdr:rowOff>
    </xdr:to>
    <xdr:sp macro="[0]!IrMenu">
      <xdr:nvSpPr>
        <xdr:cNvPr id="1" name="AutoShape 2"/>
        <xdr:cNvSpPr>
          <a:spLocks/>
        </xdr:cNvSpPr>
      </xdr:nvSpPr>
      <xdr:spPr>
        <a:xfrm>
          <a:off x="2752725" y="1181100"/>
          <a:ext cx="933450" cy="314325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3</xdr:col>
      <xdr:colOff>390525</xdr:colOff>
      <xdr:row>9</xdr:row>
      <xdr:rowOff>123825</xdr:rowOff>
    </xdr:from>
    <xdr:to>
      <xdr:col>4</xdr:col>
      <xdr:colOff>504825</xdr:colOff>
      <xdr:row>11</xdr:row>
      <xdr:rowOff>114300</xdr:rowOff>
    </xdr:to>
    <xdr:sp macro="[0]!Ir_gra_Price">
      <xdr:nvSpPr>
        <xdr:cNvPr id="2" name="AutoShape 4"/>
        <xdr:cNvSpPr>
          <a:spLocks/>
        </xdr:cNvSpPr>
      </xdr:nvSpPr>
      <xdr:spPr>
        <a:xfrm>
          <a:off x="2762250" y="1952625"/>
          <a:ext cx="933450" cy="314325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Gráfico</a:t>
          </a:r>
        </a:p>
      </xdr:txBody>
    </xdr:sp>
    <xdr:clientData/>
  </xdr:twoCellAnchor>
  <xdr:twoCellAnchor>
    <xdr:from>
      <xdr:col>5</xdr:col>
      <xdr:colOff>619125</xdr:colOff>
      <xdr:row>92</xdr:row>
      <xdr:rowOff>57150</xdr:rowOff>
    </xdr:from>
    <xdr:to>
      <xdr:col>6</xdr:col>
      <xdr:colOff>733425</xdr:colOff>
      <xdr:row>94</xdr:row>
      <xdr:rowOff>0</xdr:rowOff>
    </xdr:to>
    <xdr:sp macro="[0]!IrMenu">
      <xdr:nvSpPr>
        <xdr:cNvPr id="3" name="AutoShape 5"/>
        <xdr:cNvSpPr>
          <a:spLocks/>
        </xdr:cNvSpPr>
      </xdr:nvSpPr>
      <xdr:spPr>
        <a:xfrm>
          <a:off x="4629150" y="15668625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4</xdr:col>
      <xdr:colOff>381000</xdr:colOff>
      <xdr:row>92</xdr:row>
      <xdr:rowOff>47625</xdr:rowOff>
    </xdr:from>
    <xdr:to>
      <xdr:col>5</xdr:col>
      <xdr:colOff>495300</xdr:colOff>
      <xdr:row>93</xdr:row>
      <xdr:rowOff>190500</xdr:rowOff>
    </xdr:to>
    <xdr:sp macro="[0]!Ir_Price">
      <xdr:nvSpPr>
        <xdr:cNvPr id="4" name="AutoShape 6"/>
        <xdr:cNvSpPr>
          <a:spLocks/>
        </xdr:cNvSpPr>
      </xdr:nvSpPr>
      <xdr:spPr>
        <a:xfrm>
          <a:off x="3571875" y="15659100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Volta</a:t>
          </a:r>
        </a:p>
      </xdr:txBody>
    </xdr:sp>
    <xdr:clientData/>
  </xdr:twoCellAnchor>
  <xdr:twoCellAnchor>
    <xdr:from>
      <xdr:col>3</xdr:col>
      <xdr:colOff>390525</xdr:colOff>
      <xdr:row>7</xdr:row>
      <xdr:rowOff>66675</xdr:rowOff>
    </xdr:from>
    <xdr:to>
      <xdr:col>4</xdr:col>
      <xdr:colOff>504825</xdr:colOff>
      <xdr:row>9</xdr:row>
      <xdr:rowOff>47625</xdr:rowOff>
    </xdr:to>
    <xdr:sp macro="[0]!Limpa_nao_uniforme">
      <xdr:nvSpPr>
        <xdr:cNvPr id="5" name="AutoShape 7"/>
        <xdr:cNvSpPr>
          <a:spLocks/>
        </xdr:cNvSpPr>
      </xdr:nvSpPr>
      <xdr:spPr>
        <a:xfrm>
          <a:off x="2762250" y="1552575"/>
          <a:ext cx="933450" cy="3238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Limpa</a:t>
          </a:r>
        </a:p>
      </xdr:txBody>
    </xdr:sp>
    <xdr:clientData/>
  </xdr:twoCellAnchor>
  <xdr:twoCellAnchor>
    <xdr:from>
      <xdr:col>1</xdr:col>
      <xdr:colOff>57150</xdr:colOff>
      <xdr:row>95</xdr:row>
      <xdr:rowOff>9525</xdr:rowOff>
    </xdr:from>
    <xdr:to>
      <xdr:col>6</xdr:col>
      <xdr:colOff>742950</xdr:colOff>
      <xdr:row>106</xdr:row>
      <xdr:rowOff>85725</xdr:rowOff>
    </xdr:to>
    <xdr:graphicFrame>
      <xdr:nvGraphicFramePr>
        <xdr:cNvPr id="6" name="Chart 9"/>
        <xdr:cNvGraphicFramePr/>
      </xdr:nvGraphicFramePr>
      <xdr:xfrm>
        <a:off x="666750" y="16144875"/>
        <a:ext cx="49053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76200</xdr:colOff>
      <xdr:row>10</xdr:row>
      <xdr:rowOff>28575</xdr:rowOff>
    </xdr:from>
    <xdr:to>
      <xdr:col>33</xdr:col>
      <xdr:colOff>533400</xdr:colOff>
      <xdr:row>10</xdr:row>
      <xdr:rowOff>123825</xdr:rowOff>
    </xdr:to>
    <xdr:sp>
      <xdr:nvSpPr>
        <xdr:cNvPr id="7" name="AutoShape 10"/>
        <xdr:cNvSpPr>
          <a:spLocks/>
        </xdr:cNvSpPr>
      </xdr:nvSpPr>
      <xdr:spPr>
        <a:xfrm rot="5400000">
          <a:off x="21278850" y="2019300"/>
          <a:ext cx="457200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7</xdr:row>
      <xdr:rowOff>38100</xdr:rowOff>
    </xdr:from>
    <xdr:to>
      <xdr:col>6</xdr:col>
      <xdr:colOff>495300</xdr:colOff>
      <xdr:row>9</xdr:row>
      <xdr:rowOff>9525</xdr:rowOff>
    </xdr:to>
    <xdr:sp macro="[0]!IrMenu">
      <xdr:nvSpPr>
        <xdr:cNvPr id="1" name="AutoShape 1"/>
        <xdr:cNvSpPr>
          <a:spLocks/>
        </xdr:cNvSpPr>
      </xdr:nvSpPr>
      <xdr:spPr>
        <a:xfrm>
          <a:off x="4391025" y="1524000"/>
          <a:ext cx="933450" cy="295275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5</xdr:col>
      <xdr:colOff>390525</xdr:colOff>
      <xdr:row>11</xdr:row>
      <xdr:rowOff>123825</xdr:rowOff>
    </xdr:from>
    <xdr:to>
      <xdr:col>6</xdr:col>
      <xdr:colOff>504825</xdr:colOff>
      <xdr:row>13</xdr:row>
      <xdr:rowOff>114300</xdr:rowOff>
    </xdr:to>
    <xdr:sp macro="[0]!Ir_gra_Price">
      <xdr:nvSpPr>
        <xdr:cNvPr id="2" name="AutoShape 2"/>
        <xdr:cNvSpPr>
          <a:spLocks/>
        </xdr:cNvSpPr>
      </xdr:nvSpPr>
      <xdr:spPr>
        <a:xfrm>
          <a:off x="4400550" y="2257425"/>
          <a:ext cx="933450" cy="314325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Gráfico</a:t>
          </a:r>
        </a:p>
      </xdr:txBody>
    </xdr:sp>
    <xdr:clientData/>
  </xdr:twoCellAnchor>
  <xdr:twoCellAnchor>
    <xdr:from>
      <xdr:col>5</xdr:col>
      <xdr:colOff>619125</xdr:colOff>
      <xdr:row>92</xdr:row>
      <xdr:rowOff>57150</xdr:rowOff>
    </xdr:from>
    <xdr:to>
      <xdr:col>6</xdr:col>
      <xdr:colOff>733425</xdr:colOff>
      <xdr:row>94</xdr:row>
      <xdr:rowOff>0</xdr:rowOff>
    </xdr:to>
    <xdr:sp macro="[0]!IrMenu">
      <xdr:nvSpPr>
        <xdr:cNvPr id="3" name="AutoShape 3"/>
        <xdr:cNvSpPr>
          <a:spLocks/>
        </xdr:cNvSpPr>
      </xdr:nvSpPr>
      <xdr:spPr>
        <a:xfrm>
          <a:off x="4629150" y="15401925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4</xdr:col>
      <xdr:colOff>381000</xdr:colOff>
      <xdr:row>92</xdr:row>
      <xdr:rowOff>47625</xdr:rowOff>
    </xdr:from>
    <xdr:to>
      <xdr:col>5</xdr:col>
      <xdr:colOff>495300</xdr:colOff>
      <xdr:row>93</xdr:row>
      <xdr:rowOff>190500</xdr:rowOff>
    </xdr:to>
    <xdr:sp macro="[0]!Ir_Price">
      <xdr:nvSpPr>
        <xdr:cNvPr id="4" name="AutoShape 4"/>
        <xdr:cNvSpPr>
          <a:spLocks/>
        </xdr:cNvSpPr>
      </xdr:nvSpPr>
      <xdr:spPr>
        <a:xfrm>
          <a:off x="3571875" y="15392400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Volta</a:t>
          </a:r>
        </a:p>
      </xdr:txBody>
    </xdr:sp>
    <xdr:clientData/>
  </xdr:twoCellAnchor>
  <xdr:twoCellAnchor>
    <xdr:from>
      <xdr:col>5</xdr:col>
      <xdr:colOff>390525</xdr:colOff>
      <xdr:row>9</xdr:row>
      <xdr:rowOff>66675</xdr:rowOff>
    </xdr:from>
    <xdr:to>
      <xdr:col>6</xdr:col>
      <xdr:colOff>504825</xdr:colOff>
      <xdr:row>11</xdr:row>
      <xdr:rowOff>47625</xdr:rowOff>
    </xdr:to>
    <xdr:sp macro="[0]!limpa_t_desiguais">
      <xdr:nvSpPr>
        <xdr:cNvPr id="5" name="AutoShape 5"/>
        <xdr:cNvSpPr>
          <a:spLocks/>
        </xdr:cNvSpPr>
      </xdr:nvSpPr>
      <xdr:spPr>
        <a:xfrm>
          <a:off x="4400550" y="1876425"/>
          <a:ext cx="933450" cy="30480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Limpa</a:t>
          </a:r>
        </a:p>
      </xdr:txBody>
    </xdr:sp>
    <xdr:clientData/>
  </xdr:twoCellAnchor>
  <xdr:twoCellAnchor>
    <xdr:from>
      <xdr:col>1</xdr:col>
      <xdr:colOff>57150</xdr:colOff>
      <xdr:row>95</xdr:row>
      <xdr:rowOff>9525</xdr:rowOff>
    </xdr:from>
    <xdr:to>
      <xdr:col>6</xdr:col>
      <xdr:colOff>742950</xdr:colOff>
      <xdr:row>106</xdr:row>
      <xdr:rowOff>85725</xdr:rowOff>
    </xdr:to>
    <xdr:graphicFrame>
      <xdr:nvGraphicFramePr>
        <xdr:cNvPr id="6" name="Chart 6"/>
        <xdr:cNvGraphicFramePr/>
      </xdr:nvGraphicFramePr>
      <xdr:xfrm>
        <a:off x="666750" y="15878175"/>
        <a:ext cx="49053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4</xdr:row>
      <xdr:rowOff>28575</xdr:rowOff>
    </xdr:from>
    <xdr:to>
      <xdr:col>7</xdr:col>
      <xdr:colOff>476250</xdr:colOff>
      <xdr:row>4</xdr:row>
      <xdr:rowOff>247650</xdr:rowOff>
    </xdr:to>
    <xdr:sp macro="[0]!LimpaCalFin">
      <xdr:nvSpPr>
        <xdr:cNvPr id="1" name="AutoShape 2"/>
        <xdr:cNvSpPr>
          <a:spLocks/>
        </xdr:cNvSpPr>
      </xdr:nvSpPr>
      <xdr:spPr>
        <a:xfrm>
          <a:off x="7162800" y="1000125"/>
          <a:ext cx="742950" cy="219075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Limpa</a:t>
          </a:r>
        </a:p>
      </xdr:txBody>
    </xdr:sp>
    <xdr:clientData/>
  </xdr:twoCellAnchor>
  <xdr:twoCellAnchor>
    <xdr:from>
      <xdr:col>4</xdr:col>
      <xdr:colOff>95250</xdr:colOff>
      <xdr:row>11</xdr:row>
      <xdr:rowOff>19050</xdr:rowOff>
    </xdr:from>
    <xdr:to>
      <xdr:col>4</xdr:col>
      <xdr:colOff>838200</xdr:colOff>
      <xdr:row>11</xdr:row>
      <xdr:rowOff>238125</xdr:rowOff>
    </xdr:to>
    <xdr:sp macro="[0]!LimpaEqTax">
      <xdr:nvSpPr>
        <xdr:cNvPr id="2" name="AutoShape 3"/>
        <xdr:cNvSpPr>
          <a:spLocks/>
        </xdr:cNvSpPr>
      </xdr:nvSpPr>
      <xdr:spPr>
        <a:xfrm>
          <a:off x="4229100" y="3105150"/>
          <a:ext cx="742950" cy="219075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Limpa</a:t>
          </a:r>
        </a:p>
      </xdr:txBody>
    </xdr:sp>
    <xdr:clientData/>
  </xdr:twoCellAnchor>
  <xdr:twoCellAnchor>
    <xdr:from>
      <xdr:col>1</xdr:col>
      <xdr:colOff>66675</xdr:colOff>
      <xdr:row>8</xdr:row>
      <xdr:rowOff>57150</xdr:rowOff>
    </xdr:from>
    <xdr:to>
      <xdr:col>2</xdr:col>
      <xdr:colOff>409575</xdr:colOff>
      <xdr:row>9</xdr:row>
      <xdr:rowOff>200025</xdr:rowOff>
    </xdr:to>
    <xdr:sp macro="[0]!IrMenu">
      <xdr:nvSpPr>
        <xdr:cNvPr id="3" name="AutoShape 4"/>
        <xdr:cNvSpPr>
          <a:spLocks/>
        </xdr:cNvSpPr>
      </xdr:nvSpPr>
      <xdr:spPr>
        <a:xfrm>
          <a:off x="676275" y="2362200"/>
          <a:ext cx="1714500" cy="4762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4</xdr:col>
      <xdr:colOff>95250</xdr:colOff>
      <xdr:row>16</xdr:row>
      <xdr:rowOff>19050</xdr:rowOff>
    </xdr:from>
    <xdr:to>
      <xdr:col>4</xdr:col>
      <xdr:colOff>838200</xdr:colOff>
      <xdr:row>16</xdr:row>
      <xdr:rowOff>238125</xdr:rowOff>
    </xdr:to>
    <xdr:sp macro="[0]!limpa_contdias">
      <xdr:nvSpPr>
        <xdr:cNvPr id="4" name="AutoShape 6"/>
        <xdr:cNvSpPr>
          <a:spLocks/>
        </xdr:cNvSpPr>
      </xdr:nvSpPr>
      <xdr:spPr>
        <a:xfrm>
          <a:off x="4229100" y="4429125"/>
          <a:ext cx="742950" cy="219075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Limpa</a:t>
          </a:r>
        </a:p>
      </xdr:txBody>
    </xdr:sp>
    <xdr:clientData/>
  </xdr:twoCellAnchor>
  <xdr:twoCellAnchor>
    <xdr:from>
      <xdr:col>3</xdr:col>
      <xdr:colOff>180975</xdr:colOff>
      <xdr:row>16</xdr:row>
      <xdr:rowOff>19050</xdr:rowOff>
    </xdr:from>
    <xdr:to>
      <xdr:col>4</xdr:col>
      <xdr:colOff>9525</xdr:colOff>
      <xdr:row>16</xdr:row>
      <xdr:rowOff>238125</xdr:rowOff>
    </xdr:to>
    <xdr:sp macro="[0]!ir_feri">
      <xdr:nvSpPr>
        <xdr:cNvPr id="5" name="AutoShape 7"/>
        <xdr:cNvSpPr>
          <a:spLocks/>
        </xdr:cNvSpPr>
      </xdr:nvSpPr>
      <xdr:spPr>
        <a:xfrm>
          <a:off x="3238500" y="4429125"/>
          <a:ext cx="904875" cy="219075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Feriados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2</xdr:row>
      <xdr:rowOff>209550</xdr:rowOff>
    </xdr:from>
    <xdr:to>
      <xdr:col>13</xdr:col>
      <xdr:colOff>209550</xdr:colOff>
      <xdr:row>4</xdr:row>
      <xdr:rowOff>66675</xdr:rowOff>
    </xdr:to>
    <xdr:sp macro="[0]!IrMenu">
      <xdr:nvSpPr>
        <xdr:cNvPr id="1" name="AutoShape 1"/>
        <xdr:cNvSpPr>
          <a:spLocks/>
        </xdr:cNvSpPr>
      </xdr:nvSpPr>
      <xdr:spPr>
        <a:xfrm>
          <a:off x="7086600" y="800100"/>
          <a:ext cx="1047750" cy="504825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0</xdr:col>
      <xdr:colOff>590550</xdr:colOff>
      <xdr:row>4</xdr:row>
      <xdr:rowOff>238125</xdr:rowOff>
    </xdr:from>
    <xdr:to>
      <xdr:col>13</xdr:col>
      <xdr:colOff>438150</xdr:colOff>
      <xdr:row>34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590550" y="1476375"/>
          <a:ext cx="7772400" cy="4876800"/>
        </a:xfrm>
        <a:prstGeom prst="rect">
          <a:avLst/>
        </a:prstGeom>
        <a:solidFill>
          <a:srgbClr val="FFFF99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57150</xdr:rowOff>
    </xdr:from>
    <xdr:to>
      <xdr:col>9</xdr:col>
      <xdr:colOff>323850</xdr:colOff>
      <xdr:row>10</xdr:row>
      <xdr:rowOff>95250</xdr:rowOff>
    </xdr:to>
    <xdr:sp>
      <xdr:nvSpPr>
        <xdr:cNvPr id="3" name="AutoShape 8"/>
        <xdr:cNvSpPr>
          <a:spLocks/>
        </xdr:cNvSpPr>
      </xdr:nvSpPr>
      <xdr:spPr>
        <a:xfrm>
          <a:off x="5048250" y="1781175"/>
          <a:ext cx="762000" cy="685800"/>
        </a:xfrm>
        <a:prstGeom prst="ben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28</xdr:row>
      <xdr:rowOff>0</xdr:rowOff>
    </xdr:from>
    <xdr:to>
      <xdr:col>9</xdr:col>
      <xdr:colOff>323850</xdr:colOff>
      <xdr:row>32</xdr:row>
      <xdr:rowOff>38100</xdr:rowOff>
    </xdr:to>
    <xdr:sp>
      <xdr:nvSpPr>
        <xdr:cNvPr id="4" name="AutoShape 9"/>
        <xdr:cNvSpPr>
          <a:spLocks/>
        </xdr:cNvSpPr>
      </xdr:nvSpPr>
      <xdr:spPr>
        <a:xfrm flipV="1">
          <a:off x="5048250" y="5286375"/>
          <a:ext cx="762000" cy="685800"/>
        </a:xfrm>
        <a:prstGeom prst="ben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18</xdr:row>
      <xdr:rowOff>19050</xdr:rowOff>
    </xdr:from>
    <xdr:to>
      <xdr:col>9</xdr:col>
      <xdr:colOff>361950</xdr:colOff>
      <xdr:row>20</xdr:row>
      <xdr:rowOff>76200</xdr:rowOff>
    </xdr:to>
    <xdr:sp>
      <xdr:nvSpPr>
        <xdr:cNvPr id="5" name="AutoShape 10"/>
        <xdr:cNvSpPr>
          <a:spLocks/>
        </xdr:cNvSpPr>
      </xdr:nvSpPr>
      <xdr:spPr>
        <a:xfrm>
          <a:off x="5010150" y="3686175"/>
          <a:ext cx="838200" cy="3810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85725</xdr:rowOff>
    </xdr:from>
    <xdr:to>
      <xdr:col>15</xdr:col>
      <xdr:colOff>133350</xdr:colOff>
      <xdr:row>65</xdr:row>
      <xdr:rowOff>133350</xdr:rowOff>
    </xdr:to>
    <xdr:grpSp>
      <xdr:nvGrpSpPr>
        <xdr:cNvPr id="6" name="Group 13"/>
        <xdr:cNvGrpSpPr>
          <a:grpSpLocks/>
        </xdr:cNvGrpSpPr>
      </xdr:nvGrpSpPr>
      <xdr:grpSpPr>
        <a:xfrm>
          <a:off x="666750" y="7153275"/>
          <a:ext cx="8610600" cy="4419600"/>
          <a:chOff x="192" y="1008"/>
          <a:chExt cx="5424" cy="2784"/>
        </a:xfrm>
        <a:solidFill>
          <a:srgbClr val="FFFFFF"/>
        </a:solidFill>
      </xdr:grpSpPr>
      <xdr:sp>
        <xdr:nvSpPr>
          <xdr:cNvPr id="7" name="AutoShape 14"/>
          <xdr:cNvSpPr>
            <a:spLocks/>
          </xdr:cNvSpPr>
        </xdr:nvSpPr>
        <xdr:spPr>
          <a:xfrm>
            <a:off x="192" y="1008"/>
            <a:ext cx="5424" cy="2784"/>
          </a:xfrm>
          <a:prstGeom prst="rect">
            <a:avLst/>
          </a:prstGeom>
          <a:solidFill>
            <a:srgbClr val="FFFF99"/>
          </a:solidFill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9"/>
          <xdr:cNvGrpSpPr>
            <a:grpSpLocks/>
          </xdr:cNvGrpSpPr>
        </xdr:nvGrpSpPr>
        <xdr:grpSpPr>
          <a:xfrm>
            <a:off x="2785" y="1344"/>
            <a:ext cx="527" cy="2064"/>
            <a:chOff x="2832" y="1344"/>
            <a:chExt cx="528" cy="2064"/>
          </a:xfrm>
          <a:solidFill>
            <a:srgbClr val="FFFFFF"/>
          </a:solidFill>
        </xdr:grpSpPr>
        <xdr:sp>
          <xdr:nvSpPr>
            <xdr:cNvPr id="13" name="AutoShape 20"/>
            <xdr:cNvSpPr>
              <a:spLocks/>
            </xdr:cNvSpPr>
          </xdr:nvSpPr>
          <xdr:spPr>
            <a:xfrm>
              <a:off x="2856" y="1344"/>
              <a:ext cx="480" cy="432"/>
            </a:xfrm>
            <a:prstGeom prst="bentArrow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21"/>
            <xdr:cNvSpPr>
              <a:spLocks/>
            </xdr:cNvSpPr>
          </xdr:nvSpPr>
          <xdr:spPr>
            <a:xfrm flipV="1">
              <a:off x="2856" y="2976"/>
              <a:ext cx="480" cy="432"/>
            </a:xfrm>
            <a:prstGeom prst="bentArrow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22"/>
            <xdr:cNvSpPr>
              <a:spLocks/>
            </xdr:cNvSpPr>
          </xdr:nvSpPr>
          <xdr:spPr>
            <a:xfrm>
              <a:off x="2832" y="2304"/>
              <a:ext cx="528" cy="240"/>
            </a:xfrm>
            <a:prstGeom prst="rightArrow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161925</xdr:rowOff>
    </xdr:from>
    <xdr:to>
      <xdr:col>6</xdr:col>
      <xdr:colOff>66675</xdr:colOff>
      <xdr:row>2</xdr:row>
      <xdr:rowOff>228600</xdr:rowOff>
    </xdr:to>
    <xdr:sp macro="[0]!IrMenu">
      <xdr:nvSpPr>
        <xdr:cNvPr id="1" name="AutoShape 1"/>
        <xdr:cNvSpPr>
          <a:spLocks/>
        </xdr:cNvSpPr>
      </xdr:nvSpPr>
      <xdr:spPr>
        <a:xfrm>
          <a:off x="3429000" y="161925"/>
          <a:ext cx="10477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</xdr:row>
      <xdr:rowOff>0</xdr:rowOff>
    </xdr:from>
    <xdr:to>
      <xdr:col>11</xdr:col>
      <xdr:colOff>228600</xdr:colOff>
      <xdr:row>2</xdr:row>
      <xdr:rowOff>142875</xdr:rowOff>
    </xdr:to>
    <xdr:sp macro="[0]!IrMenu">
      <xdr:nvSpPr>
        <xdr:cNvPr id="1" name="AutoShape 1"/>
        <xdr:cNvSpPr>
          <a:spLocks/>
        </xdr:cNvSpPr>
      </xdr:nvSpPr>
      <xdr:spPr>
        <a:xfrm>
          <a:off x="5886450" y="161925"/>
          <a:ext cx="10477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1247775</xdr:colOff>
      <xdr:row>11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2324100"/>
          <a:ext cx="110490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1114425</xdr:colOff>
      <xdr:row>11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2324100"/>
          <a:ext cx="9715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1000125</xdr:colOff>
      <xdr:row>11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2324100"/>
          <a:ext cx="8572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1000125</xdr:colOff>
      <xdr:row>11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2324100"/>
          <a:ext cx="85725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1247775</xdr:colOff>
      <xdr:row>11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2324100"/>
          <a:ext cx="110490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1247775</xdr:colOff>
      <xdr:row>11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2324100"/>
          <a:ext cx="110490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9</xdr:row>
      <xdr:rowOff>200025</xdr:rowOff>
    </xdr:from>
    <xdr:to>
      <xdr:col>7</xdr:col>
      <xdr:colOff>1247775</xdr:colOff>
      <xdr:row>11</xdr:row>
      <xdr:rowOff>85725</xdr:rowOff>
    </xdr:to>
    <xdr:sp macro="[0]!IrMenu">
      <xdr:nvSpPr>
        <xdr:cNvPr id="1" name="AutoShape 1"/>
        <xdr:cNvSpPr>
          <a:spLocks/>
        </xdr:cNvSpPr>
      </xdr:nvSpPr>
      <xdr:spPr>
        <a:xfrm>
          <a:off x="6362700" y="2324100"/>
          <a:ext cx="1104900" cy="4000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oleObject" Target="../embeddings/oleObject_25_1.bin" /><Relationship Id="rId3" Type="http://schemas.openxmlformats.org/officeDocument/2006/relationships/oleObject" Target="../embeddings/oleObject_25_2.bin" /><Relationship Id="rId4" Type="http://schemas.openxmlformats.org/officeDocument/2006/relationships/oleObject" Target="../embeddings/oleObject_25_3.bin" /><Relationship Id="rId5" Type="http://schemas.openxmlformats.org/officeDocument/2006/relationships/oleObject" Target="../embeddings/oleObject_25_4.bin" /><Relationship Id="rId6" Type="http://schemas.openxmlformats.org/officeDocument/2006/relationships/oleObject" Target="../embeddings/oleObject_25_5.bin" /><Relationship Id="rId7" Type="http://schemas.openxmlformats.org/officeDocument/2006/relationships/oleObject" Target="../embeddings/oleObject_25_6.bin" /><Relationship Id="rId8" Type="http://schemas.openxmlformats.org/officeDocument/2006/relationships/oleObject" Target="../embeddings/oleObject_25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5.xml" /><Relationship Id="rId11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E2:K19"/>
  <sheetViews>
    <sheetView tabSelected="1" workbookViewId="0" topLeftCell="A1">
      <selection activeCell="A1" sqref="A1"/>
    </sheetView>
  </sheetViews>
  <sheetFormatPr defaultColWidth="9.140625" defaultRowHeight="12.75"/>
  <cols>
    <col min="1" max="9" width="9.140625" style="23" customWidth="1"/>
    <col min="10" max="10" width="13.28125" style="23" bestFit="1" customWidth="1"/>
    <col min="11" max="16384" width="9.140625" style="23" customWidth="1"/>
  </cols>
  <sheetData>
    <row r="1" ht="12.75"/>
    <row r="2" ht="30">
      <c r="E2" s="22" t="s">
        <v>36</v>
      </c>
    </row>
    <row r="3" ht="12.75">
      <c r="E3" s="24" t="s">
        <v>37</v>
      </c>
    </row>
    <row r="4" ht="12.75">
      <c r="E4" s="25" t="s">
        <v>240</v>
      </c>
    </row>
    <row r="5" ht="13.5" thickBot="1">
      <c r="E5" s="25"/>
    </row>
    <row r="6" spans="5:11" ht="12.75">
      <c r="E6" s="121" t="s">
        <v>138</v>
      </c>
      <c r="F6" s="122"/>
      <c r="G6" s="122"/>
      <c r="H6" s="122"/>
      <c r="I6" s="122"/>
      <c r="J6" s="122"/>
      <c r="K6" s="123"/>
    </row>
    <row r="7" spans="5:11" ht="12.75">
      <c r="E7" s="124" t="s">
        <v>140</v>
      </c>
      <c r="F7" s="125"/>
      <c r="G7" s="125"/>
      <c r="H7" s="125"/>
      <c r="I7" s="125"/>
      <c r="J7" s="125"/>
      <c r="K7" s="126"/>
    </row>
    <row r="8" spans="5:11" ht="12.75">
      <c r="E8" s="124" t="s">
        <v>135</v>
      </c>
      <c r="F8" s="125"/>
      <c r="G8" s="125"/>
      <c r="H8" s="127"/>
      <c r="I8" s="125"/>
      <c r="J8" s="128"/>
      <c r="K8" s="126"/>
    </row>
    <row r="9" spans="5:11" ht="12.75">
      <c r="E9" s="124" t="s">
        <v>136</v>
      </c>
      <c r="F9" s="125"/>
      <c r="G9" s="125"/>
      <c r="H9" s="125"/>
      <c r="I9" s="125"/>
      <c r="J9" s="125"/>
      <c r="K9" s="126"/>
    </row>
    <row r="10" spans="5:11" ht="12.75">
      <c r="E10" s="124" t="s">
        <v>132</v>
      </c>
      <c r="F10" s="125"/>
      <c r="G10" s="125"/>
      <c r="H10" s="125"/>
      <c r="I10" s="125"/>
      <c r="J10" s="125"/>
      <c r="K10" s="126"/>
    </row>
    <row r="11" spans="5:11" ht="12.75">
      <c r="E11" s="124" t="s">
        <v>133</v>
      </c>
      <c r="F11" s="125"/>
      <c r="G11" s="125"/>
      <c r="H11" s="125"/>
      <c r="I11" s="125"/>
      <c r="J11" s="125"/>
      <c r="K11" s="126"/>
    </row>
    <row r="12" spans="5:11" ht="12.75">
      <c r="E12" s="124" t="s">
        <v>134</v>
      </c>
      <c r="F12" s="125"/>
      <c r="G12" s="125"/>
      <c r="H12" s="125"/>
      <c r="I12" s="125"/>
      <c r="J12" s="125"/>
      <c r="K12" s="126"/>
    </row>
    <row r="13" spans="5:11" ht="13.5" thickBot="1">
      <c r="E13" s="129" t="s">
        <v>137</v>
      </c>
      <c r="F13" s="130"/>
      <c r="G13" s="130"/>
      <c r="H13" s="130"/>
      <c r="I13" s="130"/>
      <c r="J13" s="130"/>
      <c r="K13" s="131"/>
    </row>
    <row r="14" spans="5:11" ht="12.75">
      <c r="E14" s="141"/>
      <c r="F14" s="141"/>
      <c r="G14" s="141"/>
      <c r="H14" s="141"/>
      <c r="I14" s="141"/>
      <c r="J14" s="141"/>
      <c r="K14" s="141"/>
    </row>
    <row r="15" spans="5:11" ht="12.75">
      <c r="E15" s="141"/>
      <c r="F15" s="141"/>
      <c r="G15" s="141"/>
      <c r="H15" s="141"/>
      <c r="I15" s="141"/>
      <c r="J15" s="141"/>
      <c r="K15" s="141"/>
    </row>
    <row r="16" spans="5:11" ht="12.75">
      <c r="E16" s="141"/>
      <c r="F16" s="141"/>
      <c r="G16" s="141"/>
      <c r="H16" s="141"/>
      <c r="I16" s="141"/>
      <c r="J16" s="141"/>
      <c r="K16" s="141"/>
    </row>
    <row r="17" spans="5:11" ht="12.75">
      <c r="E17" s="141"/>
      <c r="F17" s="141"/>
      <c r="G17" s="141"/>
      <c r="H17" s="141"/>
      <c r="I17" s="141"/>
      <c r="J17" s="141"/>
      <c r="K17" s="141"/>
    </row>
    <row r="18" spans="5:11" ht="12.75">
      <c r="E18" s="141"/>
      <c r="F18" s="141"/>
      <c r="G18" s="141"/>
      <c r="H18" s="141"/>
      <c r="I18" s="141"/>
      <c r="J18" s="141"/>
      <c r="K18" s="141"/>
    </row>
    <row r="19" spans="5:11" ht="12.75">
      <c r="E19" s="141"/>
      <c r="F19" s="141"/>
      <c r="G19" s="141"/>
      <c r="H19" s="141"/>
      <c r="I19" s="141"/>
      <c r="J19" s="141"/>
      <c r="K19" s="141"/>
    </row>
  </sheetData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41111"/>
  <dimension ref="C1:I12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9.140625" style="1" customWidth="1"/>
    <col min="9" max="16384" width="9.140625" style="1" customWidth="1"/>
  </cols>
  <sheetData>
    <row r="1" spans="3:8" ht="20.25">
      <c r="C1" s="277" t="s">
        <v>49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54">
        <v>-450</v>
      </c>
      <c r="D3" s="150">
        <v>3</v>
      </c>
      <c r="E3" s="155" t="s">
        <v>6</v>
      </c>
      <c r="F3" s="9"/>
      <c r="G3" s="154">
        <v>500</v>
      </c>
      <c r="H3" s="9"/>
    </row>
    <row r="5" spans="3:8" ht="20.25">
      <c r="C5" s="10" t="s">
        <v>51</v>
      </c>
      <c r="D5" s="10"/>
      <c r="E5" s="10"/>
      <c r="F5" s="10"/>
      <c r="G5" s="10"/>
      <c r="H5" s="41">
        <f>(1-(-C3/G3))/D3</f>
        <v>0.033333333333333326</v>
      </c>
    </row>
    <row r="6" spans="3:8" ht="20.25">
      <c r="C6" s="12"/>
      <c r="D6" s="12"/>
      <c r="E6" s="12"/>
      <c r="F6" s="12"/>
      <c r="G6" s="12"/>
      <c r="H6" s="13" t="s">
        <v>53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8"/>
  <dimension ref="C1:I12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9.140625" style="1" customWidth="1"/>
    <col min="9" max="16384" width="9.140625" style="1" customWidth="1"/>
  </cols>
  <sheetData>
    <row r="1" spans="3:8" ht="20.25">
      <c r="C1" s="277" t="s">
        <v>33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49">
        <v>800</v>
      </c>
      <c r="D3" s="150">
        <v>2</v>
      </c>
      <c r="E3" s="151">
        <v>0.1</v>
      </c>
      <c r="F3" s="9"/>
      <c r="G3" s="152" t="s">
        <v>6</v>
      </c>
      <c r="H3" s="9"/>
    </row>
    <row r="5" spans="3:8" ht="20.25">
      <c r="C5" s="10" t="s">
        <v>16</v>
      </c>
      <c r="D5" s="10"/>
      <c r="E5" s="10"/>
      <c r="F5" s="10"/>
      <c r="G5" s="10"/>
      <c r="H5" s="11">
        <f>FV(E3,D3,,C3,)</f>
        <v>-968.0000000000001</v>
      </c>
    </row>
    <row r="6" spans="3:8" ht="20.25">
      <c r="C6" s="12"/>
      <c r="D6" s="12"/>
      <c r="E6" s="12"/>
      <c r="F6" s="12"/>
      <c r="G6" s="12"/>
      <c r="H6" s="13" t="s">
        <v>101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9"/>
  <dimension ref="C1:I12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6.7109375" style="1" customWidth="1"/>
    <col min="9" max="16384" width="9.140625" style="1" customWidth="1"/>
  </cols>
  <sheetData>
    <row r="1" spans="3:8" ht="20.25">
      <c r="C1" s="277" t="s">
        <v>33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52" t="s">
        <v>6</v>
      </c>
      <c r="D3" s="150">
        <v>5</v>
      </c>
      <c r="E3" s="151">
        <v>0.1</v>
      </c>
      <c r="F3" s="9"/>
      <c r="G3" s="154">
        <v>200</v>
      </c>
      <c r="H3" s="9"/>
    </row>
    <row r="5" spans="3:8" ht="20.25">
      <c r="C5" s="10" t="s">
        <v>19</v>
      </c>
      <c r="D5" s="10"/>
      <c r="E5" s="10"/>
      <c r="F5" s="10"/>
      <c r="G5" s="10"/>
      <c r="H5" s="11">
        <f>PV(E3,D3,,G3)</f>
        <v>-124.184264611831</v>
      </c>
    </row>
    <row r="6" spans="3:8" ht="20.25">
      <c r="C6" s="12"/>
      <c r="D6" s="12"/>
      <c r="E6" s="12"/>
      <c r="F6" s="12"/>
      <c r="G6" s="12"/>
      <c r="H6" s="13" t="s">
        <v>102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0"/>
  <dimension ref="C1:I12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8" width="15.00390625" style="1" customWidth="1"/>
    <col min="9" max="16384" width="9.140625" style="1" customWidth="1"/>
  </cols>
  <sheetData>
    <row r="1" spans="3:8" ht="20.25">
      <c r="C1" s="277" t="s">
        <v>33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54">
        <v>-800</v>
      </c>
      <c r="D3" s="152" t="s">
        <v>6</v>
      </c>
      <c r="E3" s="151">
        <v>0.06</v>
      </c>
      <c r="F3" s="9"/>
      <c r="G3" s="154">
        <v>1350</v>
      </c>
      <c r="H3" s="9"/>
    </row>
    <row r="5" spans="3:8" ht="20.25">
      <c r="C5" s="10" t="s">
        <v>20</v>
      </c>
      <c r="D5" s="10"/>
      <c r="E5" s="10"/>
      <c r="F5" s="10"/>
      <c r="G5" s="10"/>
      <c r="H5" s="16">
        <f>NPER(E3,,C3,G3)</f>
        <v>8.979885853554336</v>
      </c>
    </row>
    <row r="6" spans="3:8" ht="20.25">
      <c r="C6" s="12"/>
      <c r="D6" s="12"/>
      <c r="E6" s="12"/>
      <c r="F6" s="12"/>
      <c r="G6" s="12"/>
      <c r="H6" s="13" t="s">
        <v>103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1"/>
  <dimension ref="C1:I12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8" width="15.00390625" style="1" customWidth="1"/>
    <col min="9" max="16384" width="9.140625" style="1" customWidth="1"/>
  </cols>
  <sheetData>
    <row r="1" spans="3:8" ht="20.25">
      <c r="C1" s="277" t="s">
        <v>33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54">
        <v>200</v>
      </c>
      <c r="D3" s="150">
        <v>8</v>
      </c>
      <c r="E3" s="152" t="s">
        <v>6</v>
      </c>
      <c r="F3" s="9"/>
      <c r="G3" s="154">
        <v>-320</v>
      </c>
      <c r="H3" s="9"/>
    </row>
    <row r="5" spans="3:8" ht="20.25">
      <c r="C5" s="10" t="s">
        <v>21</v>
      </c>
      <c r="D5" s="10"/>
      <c r="E5" s="10"/>
      <c r="F5" s="10"/>
      <c r="G5" s="10"/>
      <c r="H5" s="17">
        <f>RATE(D3,,C3,G3)</f>
        <v>0.06051056118338029</v>
      </c>
    </row>
    <row r="6" spans="3:8" ht="20.25">
      <c r="C6" s="12"/>
      <c r="D6" s="12"/>
      <c r="E6" s="12"/>
      <c r="F6" s="12"/>
      <c r="G6" s="12"/>
      <c r="H6" s="13" t="s">
        <v>104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2"/>
  <dimension ref="C1:I10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7.8515625" style="1" customWidth="1"/>
    <col min="9" max="16384" width="9.140625" style="1" customWidth="1"/>
  </cols>
  <sheetData>
    <row r="1" spans="3:8" ht="20.25">
      <c r="C1" s="277" t="s">
        <v>35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7" t="s">
        <v>3</v>
      </c>
      <c r="G2" s="7" t="s">
        <v>14</v>
      </c>
      <c r="H2" s="7" t="s">
        <v>15</v>
      </c>
    </row>
    <row r="3" spans="3:9" ht="20.25">
      <c r="C3" s="154">
        <v>200</v>
      </c>
      <c r="D3" s="150">
        <v>2</v>
      </c>
      <c r="E3" s="151">
        <v>0.05</v>
      </c>
      <c r="F3" s="156" t="s">
        <v>6</v>
      </c>
      <c r="G3" s="154">
        <v>0</v>
      </c>
      <c r="H3" s="150">
        <v>1</v>
      </c>
      <c r="I3" s="18" t="str">
        <f>IF(H3=1,"Antecipado","Postecipado")</f>
        <v>Antecipado</v>
      </c>
    </row>
    <row r="5" spans="3:8" ht="20.25">
      <c r="C5" s="10" t="s">
        <v>23</v>
      </c>
      <c r="D5" s="10"/>
      <c r="E5" s="10"/>
      <c r="F5" s="10"/>
      <c r="G5" s="10"/>
      <c r="H5" s="19">
        <f>PMT(E3,D3,C3,G3,H3)</f>
        <v>-102.43902439024387</v>
      </c>
    </row>
    <row r="6" spans="3:8" ht="20.25">
      <c r="C6" s="12"/>
      <c r="D6" s="12"/>
      <c r="E6" s="12"/>
      <c r="F6" s="12"/>
      <c r="G6" s="12"/>
      <c r="H6" s="13" t="s">
        <v>22</v>
      </c>
    </row>
    <row r="8" spans="7:9" ht="20.25">
      <c r="G8" s="153"/>
      <c r="H8" s="153"/>
      <c r="I8" s="153"/>
    </row>
    <row r="9" spans="7:9" ht="20.25">
      <c r="G9" s="153"/>
      <c r="H9" s="153"/>
      <c r="I9" s="153"/>
    </row>
    <row r="10" spans="7:9" ht="20.25">
      <c r="G10" s="153"/>
      <c r="H10" s="153"/>
      <c r="I10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3"/>
  <dimension ref="C1:I10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7.8515625" style="1" customWidth="1"/>
    <col min="9" max="16384" width="9.140625" style="1" customWidth="1"/>
  </cols>
  <sheetData>
    <row r="1" spans="3:8" ht="20.25">
      <c r="C1" s="277" t="s">
        <v>35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7" t="s">
        <v>3</v>
      </c>
      <c r="G2" s="7" t="s">
        <v>14</v>
      </c>
      <c r="H2" s="7" t="s">
        <v>15</v>
      </c>
    </row>
    <row r="3" spans="3:9" ht="20.25">
      <c r="C3" s="154">
        <v>200</v>
      </c>
      <c r="D3" s="150">
        <v>2</v>
      </c>
      <c r="E3" s="157">
        <v>0.05</v>
      </c>
      <c r="F3" s="154">
        <v>10</v>
      </c>
      <c r="G3" s="156" t="s">
        <v>6</v>
      </c>
      <c r="H3" s="150">
        <v>0</v>
      </c>
      <c r="I3" s="18" t="str">
        <f>IF(H3=1,"Antecipado","Postecipado")</f>
        <v>Postecipado</v>
      </c>
    </row>
    <row r="5" spans="3:8" ht="20.25">
      <c r="C5" s="10" t="s">
        <v>26</v>
      </c>
      <c r="D5" s="10"/>
      <c r="E5" s="10"/>
      <c r="F5" s="10"/>
      <c r="G5" s="10"/>
      <c r="H5" s="19">
        <f>FV(E3,D3,F3,C3,H3)</f>
        <v>-241</v>
      </c>
    </row>
    <row r="6" spans="3:8" ht="20.25">
      <c r="C6" s="12"/>
      <c r="D6" s="12"/>
      <c r="E6" s="12"/>
      <c r="F6" s="12"/>
      <c r="G6" s="12"/>
      <c r="H6" s="13" t="s">
        <v>27</v>
      </c>
    </row>
    <row r="8" spans="7:9" ht="20.25">
      <c r="G8" s="153"/>
      <c r="H8" s="153"/>
      <c r="I8" s="153"/>
    </row>
    <row r="9" spans="7:9" ht="20.25">
      <c r="G9" s="153"/>
      <c r="H9" s="153"/>
      <c r="I9" s="153"/>
    </row>
    <row r="10" spans="7:9" ht="20.25">
      <c r="G10" s="153"/>
      <c r="H10" s="153"/>
      <c r="I10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4"/>
  <dimension ref="C1:I10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7.8515625" style="1" customWidth="1"/>
    <col min="9" max="16384" width="9.140625" style="1" customWidth="1"/>
  </cols>
  <sheetData>
    <row r="1" spans="3:8" ht="20.25">
      <c r="C1" s="277" t="s">
        <v>35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7" t="s">
        <v>3</v>
      </c>
      <c r="G2" s="7" t="s">
        <v>14</v>
      </c>
      <c r="H2" s="7" t="s">
        <v>15</v>
      </c>
    </row>
    <row r="3" spans="3:9" ht="20.25">
      <c r="C3" s="156" t="s">
        <v>6</v>
      </c>
      <c r="D3" s="150">
        <v>2</v>
      </c>
      <c r="E3" s="157">
        <v>0.05</v>
      </c>
      <c r="F3" s="154">
        <v>120</v>
      </c>
      <c r="G3" s="154">
        <v>70</v>
      </c>
      <c r="H3" s="150">
        <v>0</v>
      </c>
      <c r="I3" s="18" t="str">
        <f>IF(H3=1,"Antecipado","Postecipado")</f>
        <v>Postecipado</v>
      </c>
    </row>
    <row r="5" spans="3:8" ht="20.25">
      <c r="C5" s="10" t="s">
        <v>29</v>
      </c>
      <c r="D5" s="10"/>
      <c r="E5" s="10"/>
      <c r="F5" s="10"/>
      <c r="G5" s="10"/>
      <c r="H5" s="19">
        <f>PV(E3,D3,F3,G3,H3)</f>
        <v>-286.62131519274385</v>
      </c>
    </row>
    <row r="6" spans="3:8" ht="20.25">
      <c r="C6" s="12"/>
      <c r="D6" s="12"/>
      <c r="E6" s="12"/>
      <c r="F6" s="12"/>
      <c r="G6" s="12"/>
      <c r="H6" s="13" t="s">
        <v>28</v>
      </c>
    </row>
    <row r="8" spans="7:9" ht="20.25">
      <c r="G8" s="153"/>
      <c r="H8" s="153"/>
      <c r="I8" s="153"/>
    </row>
    <row r="9" spans="7:9" ht="20.25">
      <c r="G9" s="153"/>
      <c r="H9" s="153"/>
      <c r="I9" s="153"/>
    </row>
    <row r="10" spans="7:9" ht="20.25">
      <c r="G10" s="153"/>
      <c r="H10" s="153"/>
      <c r="I10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5"/>
  <dimension ref="C1:I10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7.8515625" style="1" customWidth="1"/>
    <col min="9" max="16384" width="9.140625" style="1" customWidth="1"/>
  </cols>
  <sheetData>
    <row r="1" spans="3:8" ht="20.25">
      <c r="C1" s="277" t="s">
        <v>35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7" t="s">
        <v>3</v>
      </c>
      <c r="G2" s="7" t="s">
        <v>14</v>
      </c>
      <c r="H2" s="7" t="s">
        <v>15</v>
      </c>
    </row>
    <row r="3" spans="3:9" ht="20.25">
      <c r="C3" s="154">
        <v>-250</v>
      </c>
      <c r="D3" s="152" t="s">
        <v>6</v>
      </c>
      <c r="E3" s="157">
        <v>0.05</v>
      </c>
      <c r="F3" s="154">
        <v>200</v>
      </c>
      <c r="G3" s="154">
        <v>0</v>
      </c>
      <c r="H3" s="150">
        <v>0</v>
      </c>
      <c r="I3" s="18" t="str">
        <f>IF(H3=1,"Antecipado","Postecipado")</f>
        <v>Postecipado</v>
      </c>
    </row>
    <row r="5" spans="3:8" ht="20.25">
      <c r="C5" s="10" t="s">
        <v>30</v>
      </c>
      <c r="D5" s="10"/>
      <c r="E5" s="10"/>
      <c r="F5" s="10"/>
      <c r="G5" s="10"/>
      <c r="H5" s="20">
        <f>NPER(E3,F3,C3,G3,H3)</f>
        <v>1.3227772899769368</v>
      </c>
    </row>
    <row r="6" spans="3:8" ht="20.25">
      <c r="C6" s="12"/>
      <c r="D6" s="12"/>
      <c r="E6" s="12"/>
      <c r="F6" s="12"/>
      <c r="G6" s="12"/>
      <c r="H6" s="13" t="s">
        <v>31</v>
      </c>
    </row>
    <row r="8" spans="7:9" ht="20.25">
      <c r="G8" s="153"/>
      <c r="H8" s="153"/>
      <c r="I8" s="153"/>
    </row>
    <row r="9" spans="7:9" ht="20.25">
      <c r="G9" s="153"/>
      <c r="H9" s="153"/>
      <c r="I9" s="153"/>
    </row>
    <row r="10" spans="7:9" ht="20.25">
      <c r="G10" s="153"/>
      <c r="H10" s="153"/>
      <c r="I10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6"/>
  <dimension ref="C1:I10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7.8515625" style="1" customWidth="1"/>
    <col min="9" max="16384" width="9.140625" style="1" customWidth="1"/>
  </cols>
  <sheetData>
    <row r="1" spans="3:8" ht="20.25">
      <c r="C1" s="277" t="s">
        <v>35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7" t="s">
        <v>3</v>
      </c>
      <c r="G2" s="7" t="s">
        <v>14</v>
      </c>
      <c r="H2" s="7" t="s">
        <v>15</v>
      </c>
    </row>
    <row r="3" spans="3:9" ht="20.25">
      <c r="C3" s="154">
        <v>200</v>
      </c>
      <c r="D3" s="150">
        <v>2</v>
      </c>
      <c r="E3" s="156" t="s">
        <v>6</v>
      </c>
      <c r="F3" s="154">
        <v>-130</v>
      </c>
      <c r="G3" s="154">
        <v>0</v>
      </c>
      <c r="H3" s="150">
        <v>0</v>
      </c>
      <c r="I3" s="18" t="str">
        <f>IF(H3=1,"Antecipado","Postecipado")</f>
        <v>Postecipado</v>
      </c>
    </row>
    <row r="5" spans="3:8" ht="20.25">
      <c r="C5" s="10" t="s">
        <v>25</v>
      </c>
      <c r="D5" s="10"/>
      <c r="E5" s="10"/>
      <c r="F5" s="10"/>
      <c r="G5" s="10"/>
      <c r="H5" s="17">
        <f>RATE(D3,F3,C3,G3,H3)</f>
        <v>0.19426693253568517</v>
      </c>
    </row>
    <row r="6" spans="3:8" ht="20.25">
      <c r="C6" s="12"/>
      <c r="D6" s="12"/>
      <c r="E6" s="12"/>
      <c r="F6" s="12"/>
      <c r="G6" s="12"/>
      <c r="H6" s="13" t="s">
        <v>24</v>
      </c>
    </row>
    <row r="8" spans="7:9" ht="20.25">
      <c r="G8" s="153"/>
      <c r="H8" s="153"/>
      <c r="I8" s="153"/>
    </row>
    <row r="9" spans="7:9" ht="20.25">
      <c r="G9" s="153"/>
      <c r="H9" s="153"/>
      <c r="I9" s="153"/>
    </row>
    <row r="10" spans="7:9" ht="20.25">
      <c r="G10" s="153"/>
      <c r="H10" s="153"/>
      <c r="I10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C2:K21"/>
  <sheetViews>
    <sheetView workbookViewId="0" topLeftCell="B2">
      <selection activeCell="C2" sqref="C2"/>
    </sheetView>
  </sheetViews>
  <sheetFormatPr defaultColWidth="9.140625" defaultRowHeight="12.75"/>
  <cols>
    <col min="1" max="16384" width="9.140625" style="23" customWidth="1"/>
  </cols>
  <sheetData>
    <row r="1" ht="13.5" thickBot="1"/>
    <row r="2" spans="3:11" ht="30" customHeight="1" thickBot="1">
      <c r="C2" s="50"/>
      <c r="D2" s="51"/>
      <c r="E2" s="51"/>
      <c r="F2" s="51"/>
      <c r="G2" s="51" t="s">
        <v>38</v>
      </c>
      <c r="H2" s="51"/>
      <c r="I2" s="51"/>
      <c r="J2" s="51"/>
      <c r="K2" s="52"/>
    </row>
    <row r="3" ht="6" customHeight="1"/>
    <row r="4" spans="3:10" ht="15">
      <c r="C4" s="276" t="s">
        <v>39</v>
      </c>
      <c r="D4" s="276"/>
      <c r="E4" s="276"/>
      <c r="F4" s="276"/>
      <c r="G4" s="276"/>
      <c r="H4" s="276"/>
      <c r="I4" s="276"/>
      <c r="J4" s="276"/>
    </row>
    <row r="5" ht="5.25" customHeight="1"/>
    <row r="6" spans="3:8" ht="16.5" thickBot="1">
      <c r="C6" s="26" t="s">
        <v>40</v>
      </c>
      <c r="H6" s="26" t="s">
        <v>78</v>
      </c>
    </row>
    <row r="7" spans="3:11" ht="12.75">
      <c r="C7" s="142"/>
      <c r="D7" s="143"/>
      <c r="E7" s="143"/>
      <c r="F7" s="144"/>
      <c r="G7" s="27"/>
      <c r="H7" s="142"/>
      <c r="I7" s="143"/>
      <c r="J7" s="143"/>
      <c r="K7" s="144"/>
    </row>
    <row r="8" spans="3:11" ht="13.5" thickBot="1">
      <c r="C8" s="145"/>
      <c r="D8" s="146"/>
      <c r="E8" s="146"/>
      <c r="F8" s="147"/>
      <c r="G8" s="27"/>
      <c r="H8" s="145"/>
      <c r="I8" s="146"/>
      <c r="J8" s="146"/>
      <c r="K8" s="147"/>
    </row>
    <row r="9" spans="3:10" ht="7.5" customHeight="1">
      <c r="C9" s="27"/>
      <c r="D9" s="27"/>
      <c r="E9" s="27"/>
      <c r="F9" s="27"/>
      <c r="G9" s="27"/>
      <c r="H9" s="27"/>
      <c r="I9" s="27"/>
      <c r="J9" s="27"/>
    </row>
    <row r="10" spans="3:8" ht="16.5" thickBot="1">
      <c r="C10" s="26" t="s">
        <v>41</v>
      </c>
      <c r="G10" s="27"/>
      <c r="H10" s="26" t="s">
        <v>79</v>
      </c>
    </row>
    <row r="11" spans="3:11" ht="12.75">
      <c r="C11" s="142"/>
      <c r="D11" s="143"/>
      <c r="E11" s="143"/>
      <c r="F11" s="144"/>
      <c r="G11" s="27"/>
      <c r="H11" s="142"/>
      <c r="I11" s="143"/>
      <c r="J11" s="143"/>
      <c r="K11" s="144"/>
    </row>
    <row r="12" spans="3:11" ht="13.5" thickBot="1">
      <c r="C12" s="145"/>
      <c r="D12" s="146"/>
      <c r="E12" s="146"/>
      <c r="F12" s="147"/>
      <c r="G12" s="27"/>
      <c r="H12" s="145"/>
      <c r="I12" s="146"/>
      <c r="J12" s="146"/>
      <c r="K12" s="147"/>
    </row>
    <row r="13" spans="3:10" ht="6.75" customHeight="1">
      <c r="C13" s="27"/>
      <c r="D13" s="27"/>
      <c r="E13" s="27"/>
      <c r="F13" s="27"/>
      <c r="G13" s="27"/>
      <c r="H13" s="27"/>
      <c r="I13" s="27"/>
      <c r="J13" s="27"/>
    </row>
    <row r="14" spans="3:8" ht="16.5" thickBot="1">
      <c r="C14" s="26" t="s">
        <v>42</v>
      </c>
      <c r="G14" s="27"/>
      <c r="H14" s="26" t="s">
        <v>80</v>
      </c>
    </row>
    <row r="15" spans="3:11" ht="12.75">
      <c r="C15" s="142"/>
      <c r="D15" s="143"/>
      <c r="E15" s="143"/>
      <c r="F15" s="144"/>
      <c r="G15" s="27"/>
      <c r="H15" s="142"/>
      <c r="I15" s="143"/>
      <c r="J15" s="143"/>
      <c r="K15" s="144"/>
    </row>
    <row r="16" spans="3:11" ht="13.5" thickBot="1">
      <c r="C16" s="145"/>
      <c r="D16" s="146"/>
      <c r="E16" s="146"/>
      <c r="F16" s="147"/>
      <c r="G16" s="27"/>
      <c r="H16" s="145"/>
      <c r="I16" s="146"/>
      <c r="J16" s="146"/>
      <c r="K16" s="147"/>
    </row>
    <row r="17" spans="3:11" ht="12.75">
      <c r="C17" s="148"/>
      <c r="D17" s="141"/>
      <c r="E17" s="141"/>
      <c r="F17" s="141"/>
      <c r="G17" s="141"/>
      <c r="H17" s="141"/>
      <c r="I17" s="141"/>
      <c r="J17" s="141"/>
      <c r="K17" s="141"/>
    </row>
    <row r="18" spans="3:11" ht="12.75">
      <c r="C18" s="141"/>
      <c r="D18" s="141"/>
      <c r="E18" s="141"/>
      <c r="F18" s="141"/>
      <c r="G18" s="141"/>
      <c r="H18" s="141"/>
      <c r="I18" s="141"/>
      <c r="J18" s="141"/>
      <c r="K18" s="141"/>
    </row>
    <row r="19" spans="3:11" ht="12.75">
      <c r="C19" s="141"/>
      <c r="D19" s="141"/>
      <c r="E19" s="141"/>
      <c r="F19" s="141"/>
      <c r="G19" s="141"/>
      <c r="H19" s="141"/>
      <c r="I19" s="141"/>
      <c r="J19" s="141"/>
      <c r="K19" s="141"/>
    </row>
    <row r="20" spans="3:11" ht="12.75">
      <c r="C20" s="141"/>
      <c r="D20" s="141"/>
      <c r="E20" s="141"/>
      <c r="F20" s="141"/>
      <c r="G20" s="141"/>
      <c r="H20" s="141"/>
      <c r="I20" s="141"/>
      <c r="J20" s="141"/>
      <c r="K20" s="141"/>
    </row>
    <row r="21" spans="3:11" ht="12.75">
      <c r="C21" s="141"/>
      <c r="D21" s="141"/>
      <c r="E21" s="141"/>
      <c r="F21" s="141"/>
      <c r="G21" s="141"/>
      <c r="H21" s="141"/>
      <c r="I21" s="141"/>
      <c r="J21" s="141"/>
      <c r="K21" s="141"/>
    </row>
  </sheetData>
  <mergeCells count="1">
    <mergeCell ref="C4:J4"/>
  </mergeCells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9"/>
  <dimension ref="B2:I98"/>
  <sheetViews>
    <sheetView workbookViewId="0" topLeftCell="A1">
      <selection activeCell="B2" sqref="B2:G2"/>
    </sheetView>
  </sheetViews>
  <sheetFormatPr defaultColWidth="9.140625" defaultRowHeight="12.75"/>
  <cols>
    <col min="2" max="2" width="12.28125" style="0" customWidth="1"/>
    <col min="3" max="3" width="14.140625" style="0" customWidth="1"/>
    <col min="4" max="7" width="12.28125" style="0" customWidth="1"/>
    <col min="9" max="9" width="10.28125" style="0" bestFit="1" customWidth="1"/>
  </cols>
  <sheetData>
    <row r="1" ht="13.5" thickBot="1"/>
    <row r="2" spans="2:7" s="49" customFormat="1" ht="28.5" thickBot="1">
      <c r="B2" s="282" t="s">
        <v>60</v>
      </c>
      <c r="C2" s="283"/>
      <c r="D2" s="283"/>
      <c r="E2" s="283"/>
      <c r="F2" s="283"/>
      <c r="G2" s="284"/>
    </row>
    <row r="3" ht="13.5" thickBot="1"/>
    <row r="4" spans="2:7" s="43" customFormat="1" ht="21" thickBot="1">
      <c r="B4" s="279" t="s">
        <v>69</v>
      </c>
      <c r="C4" s="280"/>
      <c r="D4" s="280"/>
      <c r="E4" s="280"/>
      <c r="F4" s="280"/>
      <c r="G4" s="281"/>
    </row>
    <row r="5" ht="13.5" thickBot="1"/>
    <row r="6" spans="2:7" ht="12.75">
      <c r="B6" s="53" t="s">
        <v>73</v>
      </c>
      <c r="C6" s="54"/>
      <c r="D6" s="158">
        <v>9991.96985198965</v>
      </c>
      <c r="E6" s="162"/>
      <c r="F6" s="162"/>
      <c r="G6" s="162"/>
    </row>
    <row r="7" spans="2:7" ht="12.75">
      <c r="B7" s="55" t="s">
        <v>74</v>
      </c>
      <c r="C7" s="56"/>
      <c r="D7" s="159">
        <v>1</v>
      </c>
      <c r="E7" s="162"/>
      <c r="F7" s="162"/>
      <c r="G7" s="162"/>
    </row>
    <row r="8" spans="2:7" ht="12.75">
      <c r="B8" s="55" t="s">
        <v>75</v>
      </c>
      <c r="C8" s="56"/>
      <c r="D8" s="160">
        <v>0.03</v>
      </c>
      <c r="E8" s="162"/>
      <c r="F8" s="162"/>
      <c r="G8" s="162"/>
    </row>
    <row r="9" spans="2:7" ht="13.5" thickBot="1">
      <c r="B9" s="57" t="s">
        <v>76</v>
      </c>
      <c r="C9" s="58"/>
      <c r="D9" s="161">
        <v>24</v>
      </c>
      <c r="E9" s="162"/>
      <c r="F9" s="162"/>
      <c r="G9" s="162"/>
    </row>
    <row r="10" spans="5:7" ht="12.75">
      <c r="E10" s="162"/>
      <c r="F10" s="162"/>
      <c r="G10" s="162"/>
    </row>
    <row r="11" spans="2:7" ht="12.75">
      <c r="B11" s="46" t="s">
        <v>61</v>
      </c>
      <c r="C11" s="46" t="s">
        <v>62</v>
      </c>
      <c r="D11" s="278" t="s">
        <v>64</v>
      </c>
      <c r="E11" s="278"/>
      <c r="F11" s="278"/>
      <c r="G11" s="46" t="s">
        <v>62</v>
      </c>
    </row>
    <row r="12" spans="2:7" ht="12.75">
      <c r="B12" s="47" t="s">
        <v>0</v>
      </c>
      <c r="C12" s="47" t="s">
        <v>63</v>
      </c>
      <c r="D12" s="45" t="s">
        <v>65</v>
      </c>
      <c r="E12" s="48" t="s">
        <v>66</v>
      </c>
      <c r="F12" s="45" t="s">
        <v>67</v>
      </c>
      <c r="G12" s="47" t="s">
        <v>68</v>
      </c>
    </row>
    <row r="13" spans="2:7" ht="12.75">
      <c r="B13" s="163">
        <f>+D7</f>
        <v>1</v>
      </c>
      <c r="C13" s="164">
        <f>-FV(D8,D7-1,,D6)</f>
        <v>9991.96985198965</v>
      </c>
      <c r="D13" s="164">
        <f>-C13*$D$8</f>
        <v>-299.7590955596895</v>
      </c>
      <c r="E13" s="164">
        <f>+F13-D13</f>
        <v>-290.2409044403107</v>
      </c>
      <c r="F13" s="164">
        <f>PMT(D8,D9,C13)</f>
        <v>-590.0000000000002</v>
      </c>
      <c r="G13" s="164">
        <f>+C13+E13</f>
        <v>9701.72894754934</v>
      </c>
    </row>
    <row r="14" spans="2:7" ht="12.75">
      <c r="B14" s="163">
        <f aca="true" t="shared" si="0" ref="B14:B45">IF(B13="","",IF(+B13+1&gt;$G$93,"",B13+1))</f>
        <v>2</v>
      </c>
      <c r="C14" s="164">
        <f aca="true" t="shared" si="1" ref="C14:C45">IF(B14="","",IF(+B13+1&gt;$G$93,"",+G13))</f>
        <v>9701.72894754934</v>
      </c>
      <c r="D14" s="164">
        <f aca="true" t="shared" si="2" ref="D14:D45">IF(B14="","",IF(+B13+1&gt;$G$93,"",-C14*$D$8))</f>
        <v>-291.0518684264802</v>
      </c>
      <c r="E14" s="164">
        <f aca="true" t="shared" si="3" ref="E14:E45">IF(B14="","",IF(+B13+1&gt;$G$93,"",F14-D14))</f>
        <v>-298.94813157352</v>
      </c>
      <c r="F14" s="164">
        <f aca="true" t="shared" si="4" ref="F14:F45">IF(B14="","",IF(+B13+1&gt;$G$93,"",+$F$13))</f>
        <v>-590.0000000000002</v>
      </c>
      <c r="G14" s="164">
        <f aca="true" t="shared" si="5" ref="G14:G45">IF(B14="","",IF(+B13+1&gt;$G$93,"",+C14+E14))</f>
        <v>9402.78081597582</v>
      </c>
    </row>
    <row r="15" spans="2:7" ht="12.75">
      <c r="B15" s="163">
        <f t="shared" si="0"/>
        <v>3</v>
      </c>
      <c r="C15" s="164">
        <f t="shared" si="1"/>
        <v>9402.78081597582</v>
      </c>
      <c r="D15" s="164">
        <f t="shared" si="2"/>
        <v>-282.0834244792746</v>
      </c>
      <c r="E15" s="164">
        <f t="shared" si="3"/>
        <v>-307.91657552072564</v>
      </c>
      <c r="F15" s="164">
        <f t="shared" si="4"/>
        <v>-590.0000000000002</v>
      </c>
      <c r="G15" s="164">
        <f t="shared" si="5"/>
        <v>9094.864240455096</v>
      </c>
    </row>
    <row r="16" spans="2:7" ht="12.75">
      <c r="B16" s="163">
        <f t="shared" si="0"/>
        <v>4</v>
      </c>
      <c r="C16" s="164">
        <f t="shared" si="1"/>
        <v>9094.864240455096</v>
      </c>
      <c r="D16" s="164">
        <f t="shared" si="2"/>
        <v>-272.8459272136529</v>
      </c>
      <c r="E16" s="164">
        <f t="shared" si="3"/>
        <v>-317.15407278634734</v>
      </c>
      <c r="F16" s="164">
        <f t="shared" si="4"/>
        <v>-590.0000000000002</v>
      </c>
      <c r="G16" s="164">
        <f t="shared" si="5"/>
        <v>8777.710167668749</v>
      </c>
    </row>
    <row r="17" spans="2:7" ht="12.75">
      <c r="B17" s="163">
        <f t="shared" si="0"/>
        <v>5</v>
      </c>
      <c r="C17" s="164">
        <f t="shared" si="1"/>
        <v>8777.710167668749</v>
      </c>
      <c r="D17" s="164">
        <f t="shared" si="2"/>
        <v>-263.3313050300625</v>
      </c>
      <c r="E17" s="164">
        <f t="shared" si="3"/>
        <v>-326.66869496993775</v>
      </c>
      <c r="F17" s="164">
        <f t="shared" si="4"/>
        <v>-590.0000000000002</v>
      </c>
      <c r="G17" s="164">
        <f t="shared" si="5"/>
        <v>8451.041472698811</v>
      </c>
    </row>
    <row r="18" spans="2:7" ht="12.75">
      <c r="B18" s="163">
        <f t="shared" si="0"/>
        <v>6</v>
      </c>
      <c r="C18" s="164">
        <f t="shared" si="1"/>
        <v>8451.041472698811</v>
      </c>
      <c r="D18" s="164">
        <f t="shared" si="2"/>
        <v>-253.53124418096434</v>
      </c>
      <c r="E18" s="164">
        <f t="shared" si="3"/>
        <v>-336.4687558190359</v>
      </c>
      <c r="F18" s="164">
        <f t="shared" si="4"/>
        <v>-590.0000000000002</v>
      </c>
      <c r="G18" s="164">
        <f t="shared" si="5"/>
        <v>8114.572716879775</v>
      </c>
    </row>
    <row r="19" spans="2:7" ht="12.75">
      <c r="B19" s="163">
        <f t="shared" si="0"/>
        <v>7</v>
      </c>
      <c r="C19" s="164">
        <f t="shared" si="1"/>
        <v>8114.572716879775</v>
      </c>
      <c r="D19" s="164">
        <f t="shared" si="2"/>
        <v>-243.43718150639324</v>
      </c>
      <c r="E19" s="164">
        <f t="shared" si="3"/>
        <v>-346.562818493607</v>
      </c>
      <c r="F19" s="164">
        <f t="shared" si="4"/>
        <v>-590.0000000000002</v>
      </c>
      <c r="G19" s="164">
        <f t="shared" si="5"/>
        <v>7768.009898386168</v>
      </c>
    </row>
    <row r="20" spans="2:7" ht="12.75">
      <c r="B20" s="163">
        <f t="shared" si="0"/>
        <v>8</v>
      </c>
      <c r="C20" s="164">
        <f t="shared" si="1"/>
        <v>7768.009898386168</v>
      </c>
      <c r="D20" s="164">
        <f t="shared" si="2"/>
        <v>-233.04029695158502</v>
      </c>
      <c r="E20" s="164">
        <f t="shared" si="3"/>
        <v>-356.95970304841524</v>
      </c>
      <c r="F20" s="164">
        <f t="shared" si="4"/>
        <v>-590.0000000000002</v>
      </c>
      <c r="G20" s="164">
        <f t="shared" si="5"/>
        <v>7411.0501953377525</v>
      </c>
    </row>
    <row r="21" spans="2:7" ht="12.75">
      <c r="B21" s="163">
        <f t="shared" si="0"/>
        <v>9</v>
      </c>
      <c r="C21" s="164">
        <f t="shared" si="1"/>
        <v>7411.0501953377525</v>
      </c>
      <c r="D21" s="164">
        <f t="shared" si="2"/>
        <v>-222.33150586013258</v>
      </c>
      <c r="E21" s="164">
        <f t="shared" si="3"/>
        <v>-367.6684941398677</v>
      </c>
      <c r="F21" s="164">
        <f t="shared" si="4"/>
        <v>-590.0000000000002</v>
      </c>
      <c r="G21" s="164">
        <f t="shared" si="5"/>
        <v>7043.3817011978845</v>
      </c>
    </row>
    <row r="22" spans="2:7" ht="12.75">
      <c r="B22" s="163">
        <f t="shared" si="0"/>
        <v>10</v>
      </c>
      <c r="C22" s="164">
        <f t="shared" si="1"/>
        <v>7043.3817011978845</v>
      </c>
      <c r="D22" s="164">
        <f t="shared" si="2"/>
        <v>-211.30145103593654</v>
      </c>
      <c r="E22" s="164">
        <f t="shared" si="3"/>
        <v>-378.69854896406366</v>
      </c>
      <c r="F22" s="164">
        <f t="shared" si="4"/>
        <v>-590.0000000000002</v>
      </c>
      <c r="G22" s="164">
        <f t="shared" si="5"/>
        <v>6664.683152233821</v>
      </c>
    </row>
    <row r="23" spans="2:7" ht="12.75">
      <c r="B23" s="163">
        <f t="shared" si="0"/>
        <v>11</v>
      </c>
      <c r="C23" s="164">
        <f t="shared" si="1"/>
        <v>6664.683152233821</v>
      </c>
      <c r="D23" s="164">
        <f t="shared" si="2"/>
        <v>-199.9404945670146</v>
      </c>
      <c r="E23" s="164">
        <f t="shared" si="3"/>
        <v>-390.0595054329856</v>
      </c>
      <c r="F23" s="164">
        <f t="shared" si="4"/>
        <v>-590.0000000000002</v>
      </c>
      <c r="G23" s="164">
        <f t="shared" si="5"/>
        <v>6274.623646800836</v>
      </c>
    </row>
    <row r="24" spans="2:7" ht="12.75">
      <c r="B24" s="163">
        <f t="shared" si="0"/>
        <v>12</v>
      </c>
      <c r="C24" s="164">
        <f t="shared" si="1"/>
        <v>6274.623646800836</v>
      </c>
      <c r="D24" s="164">
        <f t="shared" si="2"/>
        <v>-188.23870940402506</v>
      </c>
      <c r="E24" s="164">
        <f t="shared" si="3"/>
        <v>-401.7612905959752</v>
      </c>
      <c r="F24" s="164">
        <f t="shared" si="4"/>
        <v>-590.0000000000002</v>
      </c>
      <c r="G24" s="164">
        <f t="shared" si="5"/>
        <v>5872.862356204861</v>
      </c>
    </row>
    <row r="25" spans="2:7" ht="12.75">
      <c r="B25" s="163">
        <f t="shared" si="0"/>
        <v>13</v>
      </c>
      <c r="C25" s="164">
        <f t="shared" si="1"/>
        <v>5872.862356204861</v>
      </c>
      <c r="D25" s="164">
        <f t="shared" si="2"/>
        <v>-176.18587068614582</v>
      </c>
      <c r="E25" s="164">
        <f t="shared" si="3"/>
        <v>-413.81412931385444</v>
      </c>
      <c r="F25" s="164">
        <f t="shared" si="4"/>
        <v>-590.0000000000002</v>
      </c>
      <c r="G25" s="164">
        <f t="shared" si="5"/>
        <v>5459.048226891006</v>
      </c>
    </row>
    <row r="26" spans="2:7" ht="12.75">
      <c r="B26" s="163">
        <f t="shared" si="0"/>
        <v>14</v>
      </c>
      <c r="C26" s="164">
        <f t="shared" si="1"/>
        <v>5459.048226891006</v>
      </c>
      <c r="D26" s="164">
        <f t="shared" si="2"/>
        <v>-163.77144680673018</v>
      </c>
      <c r="E26" s="164">
        <f t="shared" si="3"/>
        <v>-426.22855319327005</v>
      </c>
      <c r="F26" s="164">
        <f t="shared" si="4"/>
        <v>-590.0000000000002</v>
      </c>
      <c r="G26" s="164">
        <f t="shared" si="5"/>
        <v>5032.819673697736</v>
      </c>
    </row>
    <row r="27" spans="2:7" ht="12.75">
      <c r="B27" s="163">
        <f t="shared" si="0"/>
        <v>15</v>
      </c>
      <c r="C27" s="164">
        <f t="shared" si="1"/>
        <v>5032.819673697736</v>
      </c>
      <c r="D27" s="164">
        <f t="shared" si="2"/>
        <v>-150.98459021093208</v>
      </c>
      <c r="E27" s="164">
        <f t="shared" si="3"/>
        <v>-439.01540978906814</v>
      </c>
      <c r="F27" s="164">
        <f t="shared" si="4"/>
        <v>-590.0000000000002</v>
      </c>
      <c r="G27" s="164">
        <f t="shared" si="5"/>
        <v>4593.804263908668</v>
      </c>
    </row>
    <row r="28" spans="2:9" ht="12.75">
      <c r="B28" s="163">
        <f t="shared" si="0"/>
        <v>16</v>
      </c>
      <c r="C28" s="164">
        <f t="shared" si="1"/>
        <v>4593.804263908668</v>
      </c>
      <c r="D28" s="164">
        <f t="shared" si="2"/>
        <v>-137.81412791726004</v>
      </c>
      <c r="E28" s="164">
        <f t="shared" si="3"/>
        <v>-452.18587208274016</v>
      </c>
      <c r="F28" s="164">
        <f t="shared" si="4"/>
        <v>-590.0000000000002</v>
      </c>
      <c r="G28" s="164">
        <f t="shared" si="5"/>
        <v>4141.618391825928</v>
      </c>
      <c r="I28" s="70"/>
    </row>
    <row r="29" spans="2:7" ht="12.75">
      <c r="B29" s="163">
        <f t="shared" si="0"/>
        <v>17</v>
      </c>
      <c r="C29" s="164">
        <f t="shared" si="1"/>
        <v>4141.618391825928</v>
      </c>
      <c r="D29" s="164">
        <f t="shared" si="2"/>
        <v>-124.24855175477782</v>
      </c>
      <c r="E29" s="164">
        <f t="shared" si="3"/>
        <v>-465.7514482452224</v>
      </c>
      <c r="F29" s="164">
        <f t="shared" si="4"/>
        <v>-590.0000000000002</v>
      </c>
      <c r="G29" s="164">
        <f t="shared" si="5"/>
        <v>3675.866943580705</v>
      </c>
    </row>
    <row r="30" spans="2:7" ht="12.75">
      <c r="B30" s="163">
        <f t="shared" si="0"/>
        <v>18</v>
      </c>
      <c r="C30" s="164">
        <f t="shared" si="1"/>
        <v>3675.866943580705</v>
      </c>
      <c r="D30" s="164">
        <f t="shared" si="2"/>
        <v>-110.27600830742115</v>
      </c>
      <c r="E30" s="164">
        <f t="shared" si="3"/>
        <v>-479.7239916925791</v>
      </c>
      <c r="F30" s="164">
        <f t="shared" si="4"/>
        <v>-590.0000000000002</v>
      </c>
      <c r="G30" s="164">
        <f t="shared" si="5"/>
        <v>3196.142951888126</v>
      </c>
    </row>
    <row r="31" spans="2:7" ht="12.75">
      <c r="B31" s="163">
        <f t="shared" si="0"/>
        <v>19</v>
      </c>
      <c r="C31" s="164">
        <f t="shared" si="1"/>
        <v>3196.142951888126</v>
      </c>
      <c r="D31" s="164">
        <f t="shared" si="2"/>
        <v>-95.88428855664378</v>
      </c>
      <c r="E31" s="164">
        <f t="shared" si="3"/>
        <v>-494.1157114433564</v>
      </c>
      <c r="F31" s="164">
        <f t="shared" si="4"/>
        <v>-590.0000000000002</v>
      </c>
      <c r="G31" s="164">
        <f t="shared" si="5"/>
        <v>2702.0272404447696</v>
      </c>
    </row>
    <row r="32" spans="2:7" ht="12.75">
      <c r="B32" s="163">
        <f t="shared" si="0"/>
        <v>20</v>
      </c>
      <c r="C32" s="164">
        <f t="shared" si="1"/>
        <v>2702.0272404447696</v>
      </c>
      <c r="D32" s="164">
        <f t="shared" si="2"/>
        <v>-81.06081721334309</v>
      </c>
      <c r="E32" s="164">
        <f t="shared" si="3"/>
        <v>-508.93918278665717</v>
      </c>
      <c r="F32" s="164">
        <f t="shared" si="4"/>
        <v>-590.0000000000002</v>
      </c>
      <c r="G32" s="164">
        <f t="shared" si="5"/>
        <v>2193.0880576581126</v>
      </c>
    </row>
    <row r="33" spans="2:7" ht="12.75">
      <c r="B33" s="163">
        <f t="shared" si="0"/>
        <v>21</v>
      </c>
      <c r="C33" s="164">
        <f t="shared" si="1"/>
        <v>2193.0880576581126</v>
      </c>
      <c r="D33" s="164">
        <f t="shared" si="2"/>
        <v>-65.79264172974338</v>
      </c>
      <c r="E33" s="164">
        <f t="shared" si="3"/>
        <v>-524.2073582702568</v>
      </c>
      <c r="F33" s="164">
        <f t="shared" si="4"/>
        <v>-590.0000000000002</v>
      </c>
      <c r="G33" s="164">
        <f t="shared" si="5"/>
        <v>1668.8806993878557</v>
      </c>
    </row>
    <row r="34" spans="2:7" ht="12.75">
      <c r="B34" s="163">
        <f t="shared" si="0"/>
        <v>22</v>
      </c>
      <c r="C34" s="164">
        <f t="shared" si="1"/>
        <v>1668.8806993878557</v>
      </c>
      <c r="D34" s="164">
        <f t="shared" si="2"/>
        <v>-50.066420981635666</v>
      </c>
      <c r="E34" s="164">
        <f t="shared" si="3"/>
        <v>-539.9335790183645</v>
      </c>
      <c r="F34" s="164">
        <f t="shared" si="4"/>
        <v>-590.0000000000002</v>
      </c>
      <c r="G34" s="164">
        <f t="shared" si="5"/>
        <v>1128.9471203694911</v>
      </c>
    </row>
    <row r="35" spans="2:7" ht="12.75">
      <c r="B35" s="163">
        <f t="shared" si="0"/>
        <v>23</v>
      </c>
      <c r="C35" s="164">
        <f t="shared" si="1"/>
        <v>1128.9471203694911</v>
      </c>
      <c r="D35" s="164">
        <f t="shared" si="2"/>
        <v>-33.86841361108473</v>
      </c>
      <c r="E35" s="164">
        <f t="shared" si="3"/>
        <v>-556.1315863889155</v>
      </c>
      <c r="F35" s="164">
        <f t="shared" si="4"/>
        <v>-590.0000000000002</v>
      </c>
      <c r="G35" s="164">
        <f t="shared" si="5"/>
        <v>572.8155339805757</v>
      </c>
    </row>
    <row r="36" spans="2:7" ht="12.75">
      <c r="B36" s="163">
        <f t="shared" si="0"/>
        <v>24</v>
      </c>
      <c r="C36" s="164">
        <f t="shared" si="1"/>
        <v>572.8155339805757</v>
      </c>
      <c r="D36" s="164">
        <f t="shared" si="2"/>
        <v>-17.18446601941727</v>
      </c>
      <c r="E36" s="164">
        <f t="shared" si="3"/>
        <v>-572.8155339805829</v>
      </c>
      <c r="F36" s="164">
        <f t="shared" si="4"/>
        <v>-590.0000000000002</v>
      </c>
      <c r="G36" s="164">
        <f t="shared" si="5"/>
        <v>-7.275957614183426E-12</v>
      </c>
    </row>
    <row r="37" spans="2:7" ht="12.75">
      <c r="B37" s="163">
        <f t="shared" si="0"/>
      </c>
      <c r="C37" s="164">
        <f t="shared" si="1"/>
      </c>
      <c r="D37" s="164">
        <f t="shared" si="2"/>
      </c>
      <c r="E37" s="164">
        <f t="shared" si="3"/>
      </c>
      <c r="F37" s="164">
        <f t="shared" si="4"/>
      </c>
      <c r="G37" s="164">
        <f t="shared" si="5"/>
      </c>
    </row>
    <row r="38" spans="2:7" ht="12.75">
      <c r="B38" s="163">
        <f t="shared" si="0"/>
      </c>
      <c r="C38" s="164">
        <f t="shared" si="1"/>
      </c>
      <c r="D38" s="164">
        <f t="shared" si="2"/>
      </c>
      <c r="E38" s="164">
        <f t="shared" si="3"/>
      </c>
      <c r="F38" s="164">
        <f t="shared" si="4"/>
      </c>
      <c r="G38" s="164">
        <f t="shared" si="5"/>
      </c>
    </row>
    <row r="39" spans="2:7" ht="12.75">
      <c r="B39" s="163">
        <f t="shared" si="0"/>
      </c>
      <c r="C39" s="164">
        <f t="shared" si="1"/>
      </c>
      <c r="D39" s="164">
        <f t="shared" si="2"/>
      </c>
      <c r="E39" s="164">
        <f t="shared" si="3"/>
      </c>
      <c r="F39" s="164">
        <f t="shared" si="4"/>
      </c>
      <c r="G39" s="164">
        <f t="shared" si="5"/>
      </c>
    </row>
    <row r="40" spans="2:7" ht="12.75">
      <c r="B40" s="163">
        <f t="shared" si="0"/>
      </c>
      <c r="C40" s="164">
        <f t="shared" si="1"/>
      </c>
      <c r="D40" s="164">
        <f t="shared" si="2"/>
      </c>
      <c r="E40" s="164">
        <f t="shared" si="3"/>
      </c>
      <c r="F40" s="164">
        <f t="shared" si="4"/>
      </c>
      <c r="G40" s="164">
        <f t="shared" si="5"/>
      </c>
    </row>
    <row r="41" spans="2:7" ht="12.75">
      <c r="B41" s="163">
        <f t="shared" si="0"/>
      </c>
      <c r="C41" s="164">
        <f t="shared" si="1"/>
      </c>
      <c r="D41" s="164">
        <f t="shared" si="2"/>
      </c>
      <c r="E41" s="164">
        <f t="shared" si="3"/>
      </c>
      <c r="F41" s="164">
        <f t="shared" si="4"/>
      </c>
      <c r="G41" s="164">
        <f t="shared" si="5"/>
      </c>
    </row>
    <row r="42" spans="2:7" ht="12.75">
      <c r="B42" s="163">
        <f t="shared" si="0"/>
      </c>
      <c r="C42" s="164">
        <f t="shared" si="1"/>
      </c>
      <c r="D42" s="164">
        <f t="shared" si="2"/>
      </c>
      <c r="E42" s="164">
        <f t="shared" si="3"/>
      </c>
      <c r="F42" s="164">
        <f t="shared" si="4"/>
      </c>
      <c r="G42" s="164">
        <f t="shared" si="5"/>
      </c>
    </row>
    <row r="43" spans="2:7" ht="12.75">
      <c r="B43" s="163">
        <f t="shared" si="0"/>
      </c>
      <c r="C43" s="164">
        <f t="shared" si="1"/>
      </c>
      <c r="D43" s="164">
        <f t="shared" si="2"/>
      </c>
      <c r="E43" s="164">
        <f t="shared" si="3"/>
      </c>
      <c r="F43" s="164">
        <f t="shared" si="4"/>
      </c>
      <c r="G43" s="164">
        <f t="shared" si="5"/>
      </c>
    </row>
    <row r="44" spans="2:7" ht="12.75">
      <c r="B44" s="163">
        <f t="shared" si="0"/>
      </c>
      <c r="C44" s="164">
        <f t="shared" si="1"/>
      </c>
      <c r="D44" s="164">
        <f t="shared" si="2"/>
      </c>
      <c r="E44" s="164">
        <f t="shared" si="3"/>
      </c>
      <c r="F44" s="164">
        <f t="shared" si="4"/>
      </c>
      <c r="G44" s="164">
        <f t="shared" si="5"/>
      </c>
    </row>
    <row r="45" spans="2:7" ht="12.75">
      <c r="B45" s="163">
        <f t="shared" si="0"/>
      </c>
      <c r="C45" s="164">
        <f t="shared" si="1"/>
      </c>
      <c r="D45" s="164">
        <f t="shared" si="2"/>
      </c>
      <c r="E45" s="164">
        <f t="shared" si="3"/>
      </c>
      <c r="F45" s="164">
        <f t="shared" si="4"/>
      </c>
      <c r="G45" s="164">
        <f t="shared" si="5"/>
      </c>
    </row>
    <row r="46" spans="2:7" ht="12.75">
      <c r="B46" s="163">
        <f aca="true" t="shared" si="6" ref="B46:B77">IF(B45="","",IF(+B45+1&gt;$G$93,"",B45+1))</f>
      </c>
      <c r="C46" s="164">
        <f aca="true" t="shared" si="7" ref="C46:C77">IF(B46="","",IF(+B45+1&gt;$G$93,"",+G45))</f>
      </c>
      <c r="D46" s="164">
        <f aca="true" t="shared" si="8" ref="D46:D77">IF(B46="","",IF(+B45+1&gt;$G$93,"",-C46*$D$8))</f>
      </c>
      <c r="E46" s="164">
        <f aca="true" t="shared" si="9" ref="E46:E77">IF(B46="","",IF(+B45+1&gt;$G$93,"",F46-D46))</f>
      </c>
      <c r="F46" s="164">
        <f aca="true" t="shared" si="10" ref="F46:F77">IF(B46="","",IF(+B45+1&gt;$G$93,"",+$F$13))</f>
      </c>
      <c r="G46" s="164">
        <f aca="true" t="shared" si="11" ref="G46:G77">IF(B46="","",IF(+B45+1&gt;$G$93,"",+C46+E46))</f>
      </c>
    </row>
    <row r="47" spans="2:7" ht="12.75">
      <c r="B47" s="163">
        <f t="shared" si="6"/>
      </c>
      <c r="C47" s="164">
        <f t="shared" si="7"/>
      </c>
      <c r="D47" s="164">
        <f t="shared" si="8"/>
      </c>
      <c r="E47" s="164">
        <f t="shared" si="9"/>
      </c>
      <c r="F47" s="164">
        <f t="shared" si="10"/>
      </c>
      <c r="G47" s="164">
        <f t="shared" si="11"/>
      </c>
    </row>
    <row r="48" spans="2:7" ht="12.75">
      <c r="B48" s="163">
        <f t="shared" si="6"/>
      </c>
      <c r="C48" s="164">
        <f t="shared" si="7"/>
      </c>
      <c r="D48" s="164">
        <f t="shared" si="8"/>
      </c>
      <c r="E48" s="164">
        <f t="shared" si="9"/>
      </c>
      <c r="F48" s="164">
        <f t="shared" si="10"/>
      </c>
      <c r="G48" s="164">
        <f t="shared" si="11"/>
      </c>
    </row>
    <row r="49" spans="2:7" ht="12.75">
      <c r="B49" s="163">
        <f t="shared" si="6"/>
      </c>
      <c r="C49" s="164">
        <f t="shared" si="7"/>
      </c>
      <c r="D49" s="164">
        <f t="shared" si="8"/>
      </c>
      <c r="E49" s="164">
        <f t="shared" si="9"/>
      </c>
      <c r="F49" s="164">
        <f t="shared" si="10"/>
      </c>
      <c r="G49" s="164">
        <f t="shared" si="11"/>
      </c>
    </row>
    <row r="50" spans="2:7" ht="12.75">
      <c r="B50" s="163">
        <f t="shared" si="6"/>
      </c>
      <c r="C50" s="164">
        <f t="shared" si="7"/>
      </c>
      <c r="D50" s="164">
        <f t="shared" si="8"/>
      </c>
      <c r="E50" s="164">
        <f t="shared" si="9"/>
      </c>
      <c r="F50" s="164">
        <f t="shared" si="10"/>
      </c>
      <c r="G50" s="164">
        <f t="shared" si="11"/>
      </c>
    </row>
    <row r="51" spans="2:7" ht="12.75">
      <c r="B51" s="163">
        <f t="shared" si="6"/>
      </c>
      <c r="C51" s="164">
        <f t="shared" si="7"/>
      </c>
      <c r="D51" s="164">
        <f t="shared" si="8"/>
      </c>
      <c r="E51" s="164">
        <f t="shared" si="9"/>
      </c>
      <c r="F51" s="164">
        <f t="shared" si="10"/>
      </c>
      <c r="G51" s="164">
        <f t="shared" si="11"/>
      </c>
    </row>
    <row r="52" spans="2:7" ht="12.75">
      <c r="B52" s="163">
        <f t="shared" si="6"/>
      </c>
      <c r="C52" s="164">
        <f t="shared" si="7"/>
      </c>
      <c r="D52" s="164">
        <f t="shared" si="8"/>
      </c>
      <c r="E52" s="164">
        <f t="shared" si="9"/>
      </c>
      <c r="F52" s="164">
        <f t="shared" si="10"/>
      </c>
      <c r="G52" s="164">
        <f t="shared" si="11"/>
      </c>
    </row>
    <row r="53" spans="2:7" ht="12.75">
      <c r="B53" s="163">
        <f t="shared" si="6"/>
      </c>
      <c r="C53" s="164">
        <f t="shared" si="7"/>
      </c>
      <c r="D53" s="164">
        <f t="shared" si="8"/>
      </c>
      <c r="E53" s="164">
        <f t="shared" si="9"/>
      </c>
      <c r="F53" s="164">
        <f t="shared" si="10"/>
      </c>
      <c r="G53" s="164">
        <f t="shared" si="11"/>
      </c>
    </row>
    <row r="54" spans="2:7" ht="12.75">
      <c r="B54" s="163">
        <f t="shared" si="6"/>
      </c>
      <c r="C54" s="164">
        <f t="shared" si="7"/>
      </c>
      <c r="D54" s="164">
        <f t="shared" si="8"/>
      </c>
      <c r="E54" s="164">
        <f t="shared" si="9"/>
      </c>
      <c r="F54" s="164">
        <f t="shared" si="10"/>
      </c>
      <c r="G54" s="164">
        <f t="shared" si="11"/>
      </c>
    </row>
    <row r="55" spans="2:7" ht="12.75">
      <c r="B55" s="163">
        <f t="shared" si="6"/>
      </c>
      <c r="C55" s="164">
        <f t="shared" si="7"/>
      </c>
      <c r="D55" s="164">
        <f t="shared" si="8"/>
      </c>
      <c r="E55" s="164">
        <f t="shared" si="9"/>
      </c>
      <c r="F55" s="164">
        <f t="shared" si="10"/>
      </c>
      <c r="G55" s="164">
        <f t="shared" si="11"/>
      </c>
    </row>
    <row r="56" spans="2:7" ht="12.75">
      <c r="B56" s="163">
        <f t="shared" si="6"/>
      </c>
      <c r="C56" s="164">
        <f t="shared" si="7"/>
      </c>
      <c r="D56" s="164">
        <f t="shared" si="8"/>
      </c>
      <c r="E56" s="164">
        <f t="shared" si="9"/>
      </c>
      <c r="F56" s="164">
        <f t="shared" si="10"/>
      </c>
      <c r="G56" s="164">
        <f t="shared" si="11"/>
      </c>
    </row>
    <row r="57" spans="2:7" ht="12.75">
      <c r="B57" s="163">
        <f t="shared" si="6"/>
      </c>
      <c r="C57" s="164">
        <f t="shared" si="7"/>
      </c>
      <c r="D57" s="164">
        <f t="shared" si="8"/>
      </c>
      <c r="E57" s="164">
        <f t="shared" si="9"/>
      </c>
      <c r="F57" s="164">
        <f t="shared" si="10"/>
      </c>
      <c r="G57" s="164">
        <f t="shared" si="11"/>
      </c>
    </row>
    <row r="58" spans="2:7" ht="12.75">
      <c r="B58" s="163">
        <f t="shared" si="6"/>
      </c>
      <c r="C58" s="164">
        <f t="shared" si="7"/>
      </c>
      <c r="D58" s="164">
        <f t="shared" si="8"/>
      </c>
      <c r="E58" s="164">
        <f t="shared" si="9"/>
      </c>
      <c r="F58" s="164">
        <f t="shared" si="10"/>
      </c>
      <c r="G58" s="164">
        <f t="shared" si="11"/>
      </c>
    </row>
    <row r="59" spans="2:7" ht="12.75">
      <c r="B59" s="163">
        <f t="shared" si="6"/>
      </c>
      <c r="C59" s="164">
        <f t="shared" si="7"/>
      </c>
      <c r="D59" s="164">
        <f t="shared" si="8"/>
      </c>
      <c r="E59" s="164">
        <f t="shared" si="9"/>
      </c>
      <c r="F59" s="164">
        <f t="shared" si="10"/>
      </c>
      <c r="G59" s="164">
        <f t="shared" si="11"/>
      </c>
    </row>
    <row r="60" spans="2:7" ht="12.75">
      <c r="B60" s="163">
        <f t="shared" si="6"/>
      </c>
      <c r="C60" s="164">
        <f t="shared" si="7"/>
      </c>
      <c r="D60" s="164">
        <f t="shared" si="8"/>
      </c>
      <c r="E60" s="164">
        <f t="shared" si="9"/>
      </c>
      <c r="F60" s="164">
        <f t="shared" si="10"/>
      </c>
      <c r="G60" s="164">
        <f t="shared" si="11"/>
      </c>
    </row>
    <row r="61" spans="2:7" ht="12.75">
      <c r="B61" s="163">
        <f t="shared" si="6"/>
      </c>
      <c r="C61" s="164">
        <f t="shared" si="7"/>
      </c>
      <c r="D61" s="164">
        <f t="shared" si="8"/>
      </c>
      <c r="E61" s="164">
        <f t="shared" si="9"/>
      </c>
      <c r="F61" s="164">
        <f t="shared" si="10"/>
      </c>
      <c r="G61" s="164">
        <f t="shared" si="11"/>
      </c>
    </row>
    <row r="62" spans="2:7" ht="12.75">
      <c r="B62" s="163">
        <f t="shared" si="6"/>
      </c>
      <c r="C62" s="164">
        <f t="shared" si="7"/>
      </c>
      <c r="D62" s="164">
        <f t="shared" si="8"/>
      </c>
      <c r="E62" s="164">
        <f t="shared" si="9"/>
      </c>
      <c r="F62" s="164">
        <f t="shared" si="10"/>
      </c>
      <c r="G62" s="164">
        <f t="shared" si="11"/>
      </c>
    </row>
    <row r="63" spans="2:7" ht="12.75">
      <c r="B63" s="163">
        <f t="shared" si="6"/>
      </c>
      <c r="C63" s="164">
        <f t="shared" si="7"/>
      </c>
      <c r="D63" s="164">
        <f t="shared" si="8"/>
      </c>
      <c r="E63" s="164">
        <f t="shared" si="9"/>
      </c>
      <c r="F63" s="164">
        <f t="shared" si="10"/>
      </c>
      <c r="G63" s="164">
        <f t="shared" si="11"/>
      </c>
    </row>
    <row r="64" spans="2:7" ht="12.75">
      <c r="B64" s="163">
        <f t="shared" si="6"/>
      </c>
      <c r="C64" s="164">
        <f t="shared" si="7"/>
      </c>
      <c r="D64" s="164">
        <f t="shared" si="8"/>
      </c>
      <c r="E64" s="164">
        <f t="shared" si="9"/>
      </c>
      <c r="F64" s="164">
        <f t="shared" si="10"/>
      </c>
      <c r="G64" s="164">
        <f t="shared" si="11"/>
      </c>
    </row>
    <row r="65" spans="2:7" ht="12.75">
      <c r="B65" s="163">
        <f t="shared" si="6"/>
      </c>
      <c r="C65" s="164">
        <f t="shared" si="7"/>
      </c>
      <c r="D65" s="164">
        <f t="shared" si="8"/>
      </c>
      <c r="E65" s="164">
        <f t="shared" si="9"/>
      </c>
      <c r="F65" s="164">
        <f t="shared" si="10"/>
      </c>
      <c r="G65" s="164">
        <f t="shared" si="11"/>
      </c>
    </row>
    <row r="66" spans="2:7" ht="12.75">
      <c r="B66" s="163">
        <f t="shared" si="6"/>
      </c>
      <c r="C66" s="164">
        <f t="shared" si="7"/>
      </c>
      <c r="D66" s="164">
        <f t="shared" si="8"/>
      </c>
      <c r="E66" s="164">
        <f t="shared" si="9"/>
      </c>
      <c r="F66" s="164">
        <f t="shared" si="10"/>
      </c>
      <c r="G66" s="164">
        <f t="shared" si="11"/>
      </c>
    </row>
    <row r="67" spans="2:7" ht="12.75">
      <c r="B67" s="163">
        <f t="shared" si="6"/>
      </c>
      <c r="C67" s="164">
        <f t="shared" si="7"/>
      </c>
      <c r="D67" s="164">
        <f t="shared" si="8"/>
      </c>
      <c r="E67" s="164">
        <f t="shared" si="9"/>
      </c>
      <c r="F67" s="164">
        <f t="shared" si="10"/>
      </c>
      <c r="G67" s="164">
        <f t="shared" si="11"/>
      </c>
    </row>
    <row r="68" spans="2:7" ht="12.75">
      <c r="B68" s="163">
        <f t="shared" si="6"/>
      </c>
      <c r="C68" s="164">
        <f t="shared" si="7"/>
      </c>
      <c r="D68" s="164">
        <f t="shared" si="8"/>
      </c>
      <c r="E68" s="164">
        <f t="shared" si="9"/>
      </c>
      <c r="F68" s="164">
        <f t="shared" si="10"/>
      </c>
      <c r="G68" s="164">
        <f t="shared" si="11"/>
      </c>
    </row>
    <row r="69" spans="2:7" ht="12.75">
      <c r="B69" s="163">
        <f t="shared" si="6"/>
      </c>
      <c r="C69" s="164">
        <f t="shared" si="7"/>
      </c>
      <c r="D69" s="164">
        <f t="shared" si="8"/>
      </c>
      <c r="E69" s="164">
        <f t="shared" si="9"/>
      </c>
      <c r="F69" s="164">
        <f t="shared" si="10"/>
      </c>
      <c r="G69" s="164">
        <f t="shared" si="11"/>
      </c>
    </row>
    <row r="70" spans="2:7" ht="12.75">
      <c r="B70" s="163">
        <f t="shared" si="6"/>
      </c>
      <c r="C70" s="164">
        <f t="shared" si="7"/>
      </c>
      <c r="D70" s="164">
        <f t="shared" si="8"/>
      </c>
      <c r="E70" s="164">
        <f t="shared" si="9"/>
      </c>
      <c r="F70" s="164">
        <f t="shared" si="10"/>
      </c>
      <c r="G70" s="164">
        <f t="shared" si="11"/>
      </c>
    </row>
    <row r="71" spans="2:7" ht="12.75">
      <c r="B71" s="163">
        <f t="shared" si="6"/>
      </c>
      <c r="C71" s="164">
        <f t="shared" si="7"/>
      </c>
      <c r="D71" s="164">
        <f t="shared" si="8"/>
      </c>
      <c r="E71" s="164">
        <f t="shared" si="9"/>
      </c>
      <c r="F71" s="164">
        <f t="shared" si="10"/>
      </c>
      <c r="G71" s="164">
        <f t="shared" si="11"/>
      </c>
    </row>
    <row r="72" spans="2:7" ht="12.75">
      <c r="B72" s="163">
        <f t="shared" si="6"/>
      </c>
      <c r="C72" s="164">
        <f t="shared" si="7"/>
      </c>
      <c r="D72" s="164">
        <f t="shared" si="8"/>
      </c>
      <c r="E72" s="164">
        <f t="shared" si="9"/>
      </c>
      <c r="F72" s="164">
        <f t="shared" si="10"/>
      </c>
      <c r="G72" s="164">
        <f t="shared" si="11"/>
      </c>
    </row>
    <row r="73" spans="2:7" ht="12.75">
      <c r="B73" s="163">
        <f t="shared" si="6"/>
      </c>
      <c r="C73" s="164">
        <f t="shared" si="7"/>
      </c>
      <c r="D73" s="164">
        <f t="shared" si="8"/>
      </c>
      <c r="E73" s="164">
        <f t="shared" si="9"/>
      </c>
      <c r="F73" s="164">
        <f t="shared" si="10"/>
      </c>
      <c r="G73" s="164">
        <f t="shared" si="11"/>
      </c>
    </row>
    <row r="74" spans="2:7" ht="12.75">
      <c r="B74" s="163">
        <f t="shared" si="6"/>
      </c>
      <c r="C74" s="164">
        <f t="shared" si="7"/>
      </c>
      <c r="D74" s="164">
        <f t="shared" si="8"/>
      </c>
      <c r="E74" s="164">
        <f t="shared" si="9"/>
      </c>
      <c r="F74" s="164">
        <f t="shared" si="10"/>
      </c>
      <c r="G74" s="164">
        <f t="shared" si="11"/>
      </c>
    </row>
    <row r="75" spans="2:7" ht="12.75">
      <c r="B75" s="163">
        <f t="shared" si="6"/>
      </c>
      <c r="C75" s="164">
        <f t="shared" si="7"/>
      </c>
      <c r="D75" s="164">
        <f t="shared" si="8"/>
      </c>
      <c r="E75" s="164">
        <f t="shared" si="9"/>
      </c>
      <c r="F75" s="164">
        <f t="shared" si="10"/>
      </c>
      <c r="G75" s="164">
        <f t="shared" si="11"/>
      </c>
    </row>
    <row r="76" spans="2:7" ht="12.75">
      <c r="B76" s="163">
        <f t="shared" si="6"/>
      </c>
      <c r="C76" s="164">
        <f t="shared" si="7"/>
      </c>
      <c r="D76" s="164">
        <f t="shared" si="8"/>
      </c>
      <c r="E76" s="164">
        <f t="shared" si="9"/>
      </c>
      <c r="F76" s="164">
        <f t="shared" si="10"/>
      </c>
      <c r="G76" s="164">
        <f t="shared" si="11"/>
      </c>
    </row>
    <row r="77" spans="2:7" ht="12.75">
      <c r="B77" s="163">
        <f t="shared" si="6"/>
      </c>
      <c r="C77" s="164">
        <f t="shared" si="7"/>
      </c>
      <c r="D77" s="164">
        <f t="shared" si="8"/>
      </c>
      <c r="E77" s="164">
        <f t="shared" si="9"/>
      </c>
      <c r="F77" s="164">
        <f t="shared" si="10"/>
      </c>
      <c r="G77" s="164">
        <f t="shared" si="11"/>
      </c>
    </row>
    <row r="78" spans="2:7" ht="12.75">
      <c r="B78" s="163">
        <f aca="true" t="shared" si="12" ref="B78:B92">IF(B77="","",IF(+B77+1&gt;$G$93,"",B77+1))</f>
      </c>
      <c r="C78" s="164">
        <f aca="true" t="shared" si="13" ref="C78:C92">IF(B78="","",IF(+B77+1&gt;$G$93,"",+G77))</f>
      </c>
      <c r="D78" s="164">
        <f aca="true" t="shared" si="14" ref="D78:D92">IF(B78="","",IF(+B77+1&gt;$G$93,"",-C78*$D$8))</f>
      </c>
      <c r="E78" s="164">
        <f aca="true" t="shared" si="15" ref="E78:E92">IF(B78="","",IF(+B77+1&gt;$G$93,"",F78-D78))</f>
      </c>
      <c r="F78" s="164">
        <f aca="true" t="shared" si="16" ref="F78:F92">IF(B78="","",IF(+B77+1&gt;$G$93,"",+$F$13))</f>
      </c>
      <c r="G78" s="164">
        <f aca="true" t="shared" si="17" ref="G78:G92">IF(B78="","",IF(+B77+1&gt;$G$93,"",+C78+E78))</f>
      </c>
    </row>
    <row r="79" spans="2:7" ht="12.75">
      <c r="B79" s="163">
        <f t="shared" si="12"/>
      </c>
      <c r="C79" s="164">
        <f t="shared" si="13"/>
      </c>
      <c r="D79" s="164">
        <f t="shared" si="14"/>
      </c>
      <c r="E79" s="164">
        <f t="shared" si="15"/>
      </c>
      <c r="F79" s="164">
        <f t="shared" si="16"/>
      </c>
      <c r="G79" s="164">
        <f t="shared" si="17"/>
      </c>
    </row>
    <row r="80" spans="2:7" ht="12.75">
      <c r="B80" s="163">
        <f t="shared" si="12"/>
      </c>
      <c r="C80" s="164">
        <f t="shared" si="13"/>
      </c>
      <c r="D80" s="164">
        <f t="shared" si="14"/>
      </c>
      <c r="E80" s="164">
        <f t="shared" si="15"/>
      </c>
      <c r="F80" s="164">
        <f t="shared" si="16"/>
      </c>
      <c r="G80" s="164">
        <f t="shared" si="17"/>
      </c>
    </row>
    <row r="81" spans="2:7" ht="12.75">
      <c r="B81" s="163">
        <f t="shared" si="12"/>
      </c>
      <c r="C81" s="164">
        <f t="shared" si="13"/>
      </c>
      <c r="D81" s="164">
        <f t="shared" si="14"/>
      </c>
      <c r="E81" s="164">
        <f t="shared" si="15"/>
      </c>
      <c r="F81" s="164">
        <f t="shared" si="16"/>
      </c>
      <c r="G81" s="164">
        <f t="shared" si="17"/>
      </c>
    </row>
    <row r="82" spans="2:7" ht="12.75">
      <c r="B82" s="163">
        <f t="shared" si="12"/>
      </c>
      <c r="C82" s="164">
        <f t="shared" si="13"/>
      </c>
      <c r="D82" s="164">
        <f t="shared" si="14"/>
      </c>
      <c r="E82" s="164">
        <f t="shared" si="15"/>
      </c>
      <c r="F82" s="164">
        <f t="shared" si="16"/>
      </c>
      <c r="G82" s="164">
        <f t="shared" si="17"/>
      </c>
    </row>
    <row r="83" spans="2:7" ht="12.75">
      <c r="B83" s="163">
        <f t="shared" si="12"/>
      </c>
      <c r="C83" s="164">
        <f t="shared" si="13"/>
      </c>
      <c r="D83" s="164">
        <f t="shared" si="14"/>
      </c>
      <c r="E83" s="164">
        <f t="shared" si="15"/>
      </c>
      <c r="F83" s="164">
        <f t="shared" si="16"/>
      </c>
      <c r="G83" s="164">
        <f t="shared" si="17"/>
      </c>
    </row>
    <row r="84" spans="2:7" ht="12.75">
      <c r="B84" s="163">
        <f t="shared" si="12"/>
      </c>
      <c r="C84" s="164">
        <f t="shared" si="13"/>
      </c>
      <c r="D84" s="164">
        <f t="shared" si="14"/>
      </c>
      <c r="E84" s="164">
        <f t="shared" si="15"/>
      </c>
      <c r="F84" s="164">
        <f t="shared" si="16"/>
      </c>
      <c r="G84" s="164">
        <f t="shared" si="17"/>
      </c>
    </row>
    <row r="85" spans="2:7" ht="12.75">
      <c r="B85" s="163">
        <f t="shared" si="12"/>
      </c>
      <c r="C85" s="164">
        <f t="shared" si="13"/>
      </c>
      <c r="D85" s="164">
        <f t="shared" si="14"/>
      </c>
      <c r="E85" s="164">
        <f t="shared" si="15"/>
      </c>
      <c r="F85" s="164">
        <f t="shared" si="16"/>
      </c>
      <c r="G85" s="164">
        <f t="shared" si="17"/>
      </c>
    </row>
    <row r="86" spans="2:7" ht="12.75">
      <c r="B86" s="163">
        <f t="shared" si="12"/>
      </c>
      <c r="C86" s="164">
        <f t="shared" si="13"/>
      </c>
      <c r="D86" s="164">
        <f t="shared" si="14"/>
      </c>
      <c r="E86" s="164">
        <f t="shared" si="15"/>
      </c>
      <c r="F86" s="164">
        <f t="shared" si="16"/>
      </c>
      <c r="G86" s="164">
        <f t="shared" si="17"/>
      </c>
    </row>
    <row r="87" spans="2:7" ht="12.75">
      <c r="B87" s="163">
        <f t="shared" si="12"/>
      </c>
      <c r="C87" s="164">
        <f t="shared" si="13"/>
      </c>
      <c r="D87" s="164">
        <f t="shared" si="14"/>
      </c>
      <c r="E87" s="164">
        <f t="shared" si="15"/>
      </c>
      <c r="F87" s="164">
        <f t="shared" si="16"/>
      </c>
      <c r="G87" s="164">
        <f t="shared" si="17"/>
      </c>
    </row>
    <row r="88" spans="2:7" ht="12.75">
      <c r="B88" s="163">
        <f t="shared" si="12"/>
      </c>
      <c r="C88" s="164">
        <f t="shared" si="13"/>
      </c>
      <c r="D88" s="164">
        <f t="shared" si="14"/>
      </c>
      <c r="E88" s="164">
        <f t="shared" si="15"/>
      </c>
      <c r="F88" s="164">
        <f t="shared" si="16"/>
      </c>
      <c r="G88" s="164">
        <f t="shared" si="17"/>
      </c>
    </row>
    <row r="89" spans="2:7" ht="12.75">
      <c r="B89" s="163">
        <f t="shared" si="12"/>
      </c>
      <c r="C89" s="164">
        <f t="shared" si="13"/>
      </c>
      <c r="D89" s="164">
        <f t="shared" si="14"/>
      </c>
      <c r="E89" s="164">
        <f t="shared" si="15"/>
      </c>
      <c r="F89" s="164">
        <f t="shared" si="16"/>
      </c>
      <c r="G89" s="164">
        <f t="shared" si="17"/>
      </c>
    </row>
    <row r="90" spans="2:7" ht="12.75">
      <c r="B90" s="163">
        <f t="shared" si="12"/>
      </c>
      <c r="C90" s="164">
        <f t="shared" si="13"/>
      </c>
      <c r="D90" s="164">
        <f t="shared" si="14"/>
      </c>
      <c r="E90" s="164">
        <f t="shared" si="15"/>
      </c>
      <c r="F90" s="164">
        <f t="shared" si="16"/>
      </c>
      <c r="G90" s="164">
        <f t="shared" si="17"/>
      </c>
    </row>
    <row r="91" spans="2:7" ht="12.75">
      <c r="B91" s="163">
        <f t="shared" si="12"/>
      </c>
      <c r="C91" s="164">
        <f t="shared" si="13"/>
      </c>
      <c r="D91" s="164">
        <f t="shared" si="14"/>
      </c>
      <c r="E91" s="164">
        <f t="shared" si="15"/>
      </c>
      <c r="F91" s="164">
        <f t="shared" si="16"/>
      </c>
      <c r="G91" s="164">
        <f t="shared" si="17"/>
      </c>
    </row>
    <row r="92" spans="2:7" ht="13.5" thickBot="1">
      <c r="B92" s="163">
        <f t="shared" si="12"/>
      </c>
      <c r="C92" s="164">
        <f t="shared" si="13"/>
      </c>
      <c r="D92" s="164">
        <f t="shared" si="14"/>
      </c>
      <c r="E92" s="164">
        <f t="shared" si="15"/>
      </c>
      <c r="F92" s="165">
        <f t="shared" si="16"/>
      </c>
      <c r="G92" s="165">
        <f t="shared" si="17"/>
      </c>
    </row>
    <row r="93" spans="6:7" s="59" customFormat="1" ht="13.5" thickBot="1">
      <c r="F93" s="62" t="s">
        <v>70</v>
      </c>
      <c r="G93" s="63">
        <f>+D9+D7-1</f>
        <v>24</v>
      </c>
    </row>
    <row r="95" spans="2:7" ht="20.25">
      <c r="B95" s="60" t="s">
        <v>238</v>
      </c>
      <c r="C95" s="44"/>
      <c r="D95" s="44"/>
      <c r="E95" s="44"/>
      <c r="F95" s="44"/>
      <c r="G95" s="44"/>
    </row>
    <row r="96" spans="5:7" ht="12.75">
      <c r="E96" s="162"/>
      <c r="F96" s="162"/>
      <c r="G96" s="162"/>
    </row>
    <row r="97" spans="2:7" ht="15.75">
      <c r="B97" s="61" t="s">
        <v>71</v>
      </c>
      <c r="E97" s="162"/>
      <c r="F97" s="162"/>
      <c r="G97" s="162"/>
    </row>
    <row r="98" spans="5:7" ht="12.75">
      <c r="E98" s="162"/>
      <c r="F98" s="162"/>
      <c r="G98" s="162"/>
    </row>
  </sheetData>
  <mergeCells count="3">
    <mergeCell ref="D11:F11"/>
    <mergeCell ref="B4:G4"/>
    <mergeCell ref="B2:G2"/>
  </mergeCells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0"/>
  <dimension ref="B2:G98"/>
  <sheetViews>
    <sheetView workbookViewId="0" topLeftCell="B1">
      <selection activeCell="B2" sqref="B2:G2"/>
    </sheetView>
  </sheetViews>
  <sheetFormatPr defaultColWidth="9.140625" defaultRowHeight="12.75"/>
  <cols>
    <col min="2" max="2" width="12.28125" style="0" customWidth="1"/>
    <col min="3" max="3" width="14.140625" style="0" customWidth="1"/>
    <col min="4" max="7" width="12.28125" style="0" customWidth="1"/>
  </cols>
  <sheetData>
    <row r="1" ht="13.5" thickBot="1"/>
    <row r="2" spans="2:7" s="49" customFormat="1" ht="28.5" thickBot="1">
      <c r="B2" s="282" t="s">
        <v>60</v>
      </c>
      <c r="C2" s="283"/>
      <c r="D2" s="283"/>
      <c r="E2" s="283"/>
      <c r="F2" s="283"/>
      <c r="G2" s="284"/>
    </row>
    <row r="3" ht="13.5" thickBot="1"/>
    <row r="4" spans="2:7" s="43" customFormat="1" ht="21" thickBot="1">
      <c r="B4" s="279" t="s">
        <v>77</v>
      </c>
      <c r="C4" s="280"/>
      <c r="D4" s="280"/>
      <c r="E4" s="280"/>
      <c r="F4" s="280"/>
      <c r="G4" s="281"/>
    </row>
    <row r="5" ht="13.5" thickBot="1"/>
    <row r="6" spans="2:7" ht="12.75">
      <c r="B6" s="53" t="s">
        <v>73</v>
      </c>
      <c r="C6" s="54"/>
      <c r="D6" s="168">
        <v>30000</v>
      </c>
      <c r="E6" s="162"/>
      <c r="F6" s="162"/>
      <c r="G6" s="162"/>
    </row>
    <row r="7" spans="2:7" ht="12.75">
      <c r="B7" s="55" t="s">
        <v>74</v>
      </c>
      <c r="C7" s="56"/>
      <c r="D7" s="159">
        <v>1</v>
      </c>
      <c r="E7" s="162"/>
      <c r="F7" s="162"/>
      <c r="G7" s="162"/>
    </row>
    <row r="8" spans="2:7" ht="12.75">
      <c r="B8" s="55" t="s">
        <v>75</v>
      </c>
      <c r="C8" s="56"/>
      <c r="D8" s="169">
        <v>0.04</v>
      </c>
      <c r="E8" s="162"/>
      <c r="F8" s="162"/>
      <c r="G8" s="162"/>
    </row>
    <row r="9" spans="2:7" ht="13.5" thickBot="1">
      <c r="B9" s="57" t="s">
        <v>76</v>
      </c>
      <c r="C9" s="58"/>
      <c r="D9" s="161">
        <v>15</v>
      </c>
      <c r="E9" s="162"/>
      <c r="F9" s="162"/>
      <c r="G9" s="162"/>
    </row>
    <row r="10" spans="5:7" ht="12.75">
      <c r="E10" s="162"/>
      <c r="F10" s="162"/>
      <c r="G10" s="162"/>
    </row>
    <row r="11" spans="2:7" ht="12.75">
      <c r="B11" s="46" t="s">
        <v>61</v>
      </c>
      <c r="C11" s="46" t="s">
        <v>62</v>
      </c>
      <c r="D11" s="278" t="s">
        <v>64</v>
      </c>
      <c r="E11" s="278"/>
      <c r="F11" s="278"/>
      <c r="G11" s="46" t="s">
        <v>62</v>
      </c>
    </row>
    <row r="12" spans="2:7" ht="12.75">
      <c r="B12" s="47" t="s">
        <v>0</v>
      </c>
      <c r="C12" s="47" t="s">
        <v>63</v>
      </c>
      <c r="D12" s="45" t="s">
        <v>65</v>
      </c>
      <c r="E12" s="48" t="s">
        <v>66</v>
      </c>
      <c r="F12" s="45" t="s">
        <v>67</v>
      </c>
      <c r="G12" s="47" t="s">
        <v>68</v>
      </c>
    </row>
    <row r="13" spans="2:7" ht="12.75">
      <c r="B13" s="163">
        <f>+D7</f>
        <v>1</v>
      </c>
      <c r="C13" s="166">
        <f>-FV(D8,D7-1,,D6)</f>
        <v>30000</v>
      </c>
      <c r="D13" s="166">
        <f>-C13*$D$8</f>
        <v>-1200</v>
      </c>
      <c r="E13" s="166">
        <f>-$C$13/$D$9</f>
        <v>-2000</v>
      </c>
      <c r="F13" s="166">
        <f>+E13+D13</f>
        <v>-3200</v>
      </c>
      <c r="G13" s="166">
        <f>+C13+E13</f>
        <v>28000</v>
      </c>
    </row>
    <row r="14" spans="2:7" ht="12.75">
      <c r="B14" s="163">
        <f aca="true" t="shared" si="0" ref="B14:B45">IF(B13="","",IF(+B13+1&gt;$G$93,"",B13+1))</f>
        <v>2</v>
      </c>
      <c r="C14" s="166">
        <f aca="true" t="shared" si="1" ref="C14:C45">IF(B14="","",IF(+B13+1&gt;$G$93,"",+G13))</f>
        <v>28000</v>
      </c>
      <c r="D14" s="166">
        <f aca="true" t="shared" si="2" ref="D14:D45">IF(B14="","",IF(+B13+1&gt;$G$93,"",-C14*$D$8))</f>
        <v>-1120</v>
      </c>
      <c r="E14" s="166">
        <f>IF(B14="","",IF(+B13+1&gt;$G$93,"",-$C$13/$D$9))</f>
        <v>-2000</v>
      </c>
      <c r="F14" s="166">
        <f>IF(B14="","",IF(+B13+1&gt;$G$93,"",+D14+E14))</f>
        <v>-3120</v>
      </c>
      <c r="G14" s="166">
        <f aca="true" t="shared" si="3" ref="G14:G45">IF(B14="","",IF(+B13+1&gt;$G$93,"",+C14+E14))</f>
        <v>26000</v>
      </c>
    </row>
    <row r="15" spans="2:7" ht="12.75">
      <c r="B15" s="163">
        <f t="shared" si="0"/>
        <v>3</v>
      </c>
      <c r="C15" s="166">
        <f t="shared" si="1"/>
        <v>26000</v>
      </c>
      <c r="D15" s="166">
        <f t="shared" si="2"/>
        <v>-1040</v>
      </c>
      <c r="E15" s="166">
        <f aca="true" t="shared" si="4" ref="E15:E78">IF(B15="","",IF(+B14+1&gt;$G$93,"",-$C$13/$D$9))</f>
        <v>-2000</v>
      </c>
      <c r="F15" s="166">
        <f aca="true" t="shared" si="5" ref="F15:F78">IF(B15="","",IF(+B14+1&gt;$G$93,"",+D15+E15))</f>
        <v>-3040</v>
      </c>
      <c r="G15" s="166">
        <f t="shared" si="3"/>
        <v>24000</v>
      </c>
    </row>
    <row r="16" spans="2:7" ht="12.75">
      <c r="B16" s="163">
        <f t="shared" si="0"/>
        <v>4</v>
      </c>
      <c r="C16" s="166">
        <f t="shared" si="1"/>
        <v>24000</v>
      </c>
      <c r="D16" s="166">
        <f t="shared" si="2"/>
        <v>-960</v>
      </c>
      <c r="E16" s="166">
        <f t="shared" si="4"/>
        <v>-2000</v>
      </c>
      <c r="F16" s="166">
        <f t="shared" si="5"/>
        <v>-2960</v>
      </c>
      <c r="G16" s="166">
        <f t="shared" si="3"/>
        <v>22000</v>
      </c>
    </row>
    <row r="17" spans="2:7" ht="12.75">
      <c r="B17" s="163">
        <f t="shared" si="0"/>
        <v>5</v>
      </c>
      <c r="C17" s="166">
        <f t="shared" si="1"/>
        <v>22000</v>
      </c>
      <c r="D17" s="166">
        <f t="shared" si="2"/>
        <v>-880</v>
      </c>
      <c r="E17" s="166">
        <f t="shared" si="4"/>
        <v>-2000</v>
      </c>
      <c r="F17" s="166">
        <f t="shared" si="5"/>
        <v>-2880</v>
      </c>
      <c r="G17" s="166">
        <f t="shared" si="3"/>
        <v>20000</v>
      </c>
    </row>
    <row r="18" spans="2:7" ht="12.75">
      <c r="B18" s="163">
        <f t="shared" si="0"/>
        <v>6</v>
      </c>
      <c r="C18" s="166">
        <f t="shared" si="1"/>
        <v>20000</v>
      </c>
      <c r="D18" s="166">
        <f t="shared" si="2"/>
        <v>-800</v>
      </c>
      <c r="E18" s="166">
        <f t="shared" si="4"/>
        <v>-2000</v>
      </c>
      <c r="F18" s="166">
        <f t="shared" si="5"/>
        <v>-2800</v>
      </c>
      <c r="G18" s="166">
        <f t="shared" si="3"/>
        <v>18000</v>
      </c>
    </row>
    <row r="19" spans="2:7" ht="12.75">
      <c r="B19" s="163">
        <f t="shared" si="0"/>
        <v>7</v>
      </c>
      <c r="C19" s="166">
        <f t="shared" si="1"/>
        <v>18000</v>
      </c>
      <c r="D19" s="166">
        <f t="shared" si="2"/>
        <v>-720</v>
      </c>
      <c r="E19" s="166">
        <f t="shared" si="4"/>
        <v>-2000</v>
      </c>
      <c r="F19" s="166">
        <f t="shared" si="5"/>
        <v>-2720</v>
      </c>
      <c r="G19" s="166">
        <f t="shared" si="3"/>
        <v>16000</v>
      </c>
    </row>
    <row r="20" spans="2:7" ht="12.75">
      <c r="B20" s="163">
        <f t="shared" si="0"/>
        <v>8</v>
      </c>
      <c r="C20" s="166">
        <f t="shared" si="1"/>
        <v>16000</v>
      </c>
      <c r="D20" s="166">
        <f t="shared" si="2"/>
        <v>-640</v>
      </c>
      <c r="E20" s="166">
        <f t="shared" si="4"/>
        <v>-2000</v>
      </c>
      <c r="F20" s="166">
        <f t="shared" si="5"/>
        <v>-2640</v>
      </c>
      <c r="G20" s="166">
        <f t="shared" si="3"/>
        <v>14000</v>
      </c>
    </row>
    <row r="21" spans="2:7" ht="12.75">
      <c r="B21" s="163">
        <f t="shared" si="0"/>
        <v>9</v>
      </c>
      <c r="C21" s="166">
        <f t="shared" si="1"/>
        <v>14000</v>
      </c>
      <c r="D21" s="166">
        <f t="shared" si="2"/>
        <v>-560</v>
      </c>
      <c r="E21" s="166">
        <f t="shared" si="4"/>
        <v>-2000</v>
      </c>
      <c r="F21" s="166">
        <f t="shared" si="5"/>
        <v>-2560</v>
      </c>
      <c r="G21" s="166">
        <f t="shared" si="3"/>
        <v>12000</v>
      </c>
    </row>
    <row r="22" spans="2:7" ht="12.75">
      <c r="B22" s="163">
        <f t="shared" si="0"/>
        <v>10</v>
      </c>
      <c r="C22" s="166">
        <f t="shared" si="1"/>
        <v>12000</v>
      </c>
      <c r="D22" s="166">
        <f t="shared" si="2"/>
        <v>-480</v>
      </c>
      <c r="E22" s="166">
        <f t="shared" si="4"/>
        <v>-2000</v>
      </c>
      <c r="F22" s="166">
        <f t="shared" si="5"/>
        <v>-2480</v>
      </c>
      <c r="G22" s="166">
        <f t="shared" si="3"/>
        <v>10000</v>
      </c>
    </row>
    <row r="23" spans="2:7" ht="12.75">
      <c r="B23" s="163">
        <f t="shared" si="0"/>
        <v>11</v>
      </c>
      <c r="C23" s="166">
        <f t="shared" si="1"/>
        <v>10000</v>
      </c>
      <c r="D23" s="166">
        <f t="shared" si="2"/>
        <v>-400</v>
      </c>
      <c r="E23" s="166">
        <f t="shared" si="4"/>
        <v>-2000</v>
      </c>
      <c r="F23" s="166">
        <f t="shared" si="5"/>
        <v>-2400</v>
      </c>
      <c r="G23" s="166">
        <f t="shared" si="3"/>
        <v>8000</v>
      </c>
    </row>
    <row r="24" spans="2:7" ht="12.75">
      <c r="B24" s="163">
        <f t="shared" si="0"/>
        <v>12</v>
      </c>
      <c r="C24" s="166">
        <f t="shared" si="1"/>
        <v>8000</v>
      </c>
      <c r="D24" s="166">
        <f t="shared" si="2"/>
        <v>-320</v>
      </c>
      <c r="E24" s="166">
        <f t="shared" si="4"/>
        <v>-2000</v>
      </c>
      <c r="F24" s="166">
        <f t="shared" si="5"/>
        <v>-2320</v>
      </c>
      <c r="G24" s="166">
        <f t="shared" si="3"/>
        <v>6000</v>
      </c>
    </row>
    <row r="25" spans="2:7" ht="12.75">
      <c r="B25" s="163">
        <f t="shared" si="0"/>
        <v>13</v>
      </c>
      <c r="C25" s="166">
        <f t="shared" si="1"/>
        <v>6000</v>
      </c>
      <c r="D25" s="166">
        <f t="shared" si="2"/>
        <v>-240</v>
      </c>
      <c r="E25" s="166">
        <f t="shared" si="4"/>
        <v>-2000</v>
      </c>
      <c r="F25" s="166">
        <f t="shared" si="5"/>
        <v>-2240</v>
      </c>
      <c r="G25" s="166">
        <f t="shared" si="3"/>
        <v>4000</v>
      </c>
    </row>
    <row r="26" spans="2:7" ht="12.75">
      <c r="B26" s="163">
        <f t="shared" si="0"/>
        <v>14</v>
      </c>
      <c r="C26" s="166">
        <f t="shared" si="1"/>
        <v>4000</v>
      </c>
      <c r="D26" s="166">
        <f t="shared" si="2"/>
        <v>-160</v>
      </c>
      <c r="E26" s="166">
        <f t="shared" si="4"/>
        <v>-2000</v>
      </c>
      <c r="F26" s="166">
        <f t="shared" si="5"/>
        <v>-2160</v>
      </c>
      <c r="G26" s="166">
        <f t="shared" si="3"/>
        <v>2000</v>
      </c>
    </row>
    <row r="27" spans="2:7" ht="12.75">
      <c r="B27" s="163">
        <f t="shared" si="0"/>
        <v>15</v>
      </c>
      <c r="C27" s="166">
        <f t="shared" si="1"/>
        <v>2000</v>
      </c>
      <c r="D27" s="166">
        <f t="shared" si="2"/>
        <v>-80</v>
      </c>
      <c r="E27" s="166">
        <f t="shared" si="4"/>
        <v>-2000</v>
      </c>
      <c r="F27" s="166">
        <f t="shared" si="5"/>
        <v>-2080</v>
      </c>
      <c r="G27" s="166">
        <f t="shared" si="3"/>
        <v>0</v>
      </c>
    </row>
    <row r="28" spans="2:7" ht="12.75">
      <c r="B28" s="163">
        <f t="shared" si="0"/>
      </c>
      <c r="C28" s="166">
        <f t="shared" si="1"/>
      </c>
      <c r="D28" s="166">
        <f t="shared" si="2"/>
      </c>
      <c r="E28" s="166">
        <f t="shared" si="4"/>
      </c>
      <c r="F28" s="166">
        <f t="shared" si="5"/>
      </c>
      <c r="G28" s="166">
        <f t="shared" si="3"/>
      </c>
    </row>
    <row r="29" spans="2:7" ht="12.75">
      <c r="B29" s="163">
        <f t="shared" si="0"/>
      </c>
      <c r="C29" s="166">
        <f t="shared" si="1"/>
      </c>
      <c r="D29" s="166">
        <f t="shared" si="2"/>
      </c>
      <c r="E29" s="166">
        <f t="shared" si="4"/>
      </c>
      <c r="F29" s="166">
        <f t="shared" si="5"/>
      </c>
      <c r="G29" s="166">
        <f t="shared" si="3"/>
      </c>
    </row>
    <row r="30" spans="2:7" ht="12.75">
      <c r="B30" s="163">
        <f t="shared" si="0"/>
      </c>
      <c r="C30" s="166">
        <f t="shared" si="1"/>
      </c>
      <c r="D30" s="166">
        <f t="shared" si="2"/>
      </c>
      <c r="E30" s="166">
        <f t="shared" si="4"/>
      </c>
      <c r="F30" s="166">
        <f t="shared" si="5"/>
      </c>
      <c r="G30" s="166">
        <f t="shared" si="3"/>
      </c>
    </row>
    <row r="31" spans="2:7" ht="12.75">
      <c r="B31" s="163">
        <f t="shared" si="0"/>
      </c>
      <c r="C31" s="166">
        <f t="shared" si="1"/>
      </c>
      <c r="D31" s="166">
        <f t="shared" si="2"/>
      </c>
      <c r="E31" s="166">
        <f t="shared" si="4"/>
      </c>
      <c r="F31" s="166">
        <f t="shared" si="5"/>
      </c>
      <c r="G31" s="166">
        <f t="shared" si="3"/>
      </c>
    </row>
    <row r="32" spans="2:7" ht="12.75">
      <c r="B32" s="163">
        <f t="shared" si="0"/>
      </c>
      <c r="C32" s="166">
        <f t="shared" si="1"/>
      </c>
      <c r="D32" s="166">
        <f t="shared" si="2"/>
      </c>
      <c r="E32" s="166">
        <f t="shared" si="4"/>
      </c>
      <c r="F32" s="166">
        <f t="shared" si="5"/>
      </c>
      <c r="G32" s="166">
        <f t="shared" si="3"/>
      </c>
    </row>
    <row r="33" spans="2:7" ht="12.75">
      <c r="B33" s="163">
        <f t="shared" si="0"/>
      </c>
      <c r="C33" s="166">
        <f t="shared" si="1"/>
      </c>
      <c r="D33" s="166">
        <f t="shared" si="2"/>
      </c>
      <c r="E33" s="166">
        <f t="shared" si="4"/>
      </c>
      <c r="F33" s="166">
        <f t="shared" si="5"/>
      </c>
      <c r="G33" s="166">
        <f t="shared" si="3"/>
      </c>
    </row>
    <row r="34" spans="2:7" ht="12.75">
      <c r="B34" s="163">
        <f t="shared" si="0"/>
      </c>
      <c r="C34" s="166">
        <f t="shared" si="1"/>
      </c>
      <c r="D34" s="166">
        <f t="shared" si="2"/>
      </c>
      <c r="E34" s="166">
        <f t="shared" si="4"/>
      </c>
      <c r="F34" s="166">
        <f t="shared" si="5"/>
      </c>
      <c r="G34" s="166">
        <f t="shared" si="3"/>
      </c>
    </row>
    <row r="35" spans="2:7" ht="12.75">
      <c r="B35" s="163">
        <f t="shared" si="0"/>
      </c>
      <c r="C35" s="166">
        <f t="shared" si="1"/>
      </c>
      <c r="D35" s="166">
        <f t="shared" si="2"/>
      </c>
      <c r="E35" s="166">
        <f t="shared" si="4"/>
      </c>
      <c r="F35" s="166">
        <f t="shared" si="5"/>
      </c>
      <c r="G35" s="166">
        <f t="shared" si="3"/>
      </c>
    </row>
    <row r="36" spans="2:7" ht="12.75">
      <c r="B36" s="163">
        <f t="shared" si="0"/>
      </c>
      <c r="C36" s="166">
        <f t="shared" si="1"/>
      </c>
      <c r="D36" s="166">
        <f t="shared" si="2"/>
      </c>
      <c r="E36" s="166">
        <f t="shared" si="4"/>
      </c>
      <c r="F36" s="166">
        <f t="shared" si="5"/>
      </c>
      <c r="G36" s="166">
        <f t="shared" si="3"/>
      </c>
    </row>
    <row r="37" spans="2:7" ht="12.75">
      <c r="B37" s="163">
        <f t="shared" si="0"/>
      </c>
      <c r="C37" s="166">
        <f t="shared" si="1"/>
      </c>
      <c r="D37" s="166">
        <f t="shared" si="2"/>
      </c>
      <c r="E37" s="166">
        <f t="shared" si="4"/>
      </c>
      <c r="F37" s="166">
        <f t="shared" si="5"/>
      </c>
      <c r="G37" s="166">
        <f t="shared" si="3"/>
      </c>
    </row>
    <row r="38" spans="2:7" ht="12.75">
      <c r="B38" s="163">
        <f t="shared" si="0"/>
      </c>
      <c r="C38" s="166">
        <f t="shared" si="1"/>
      </c>
      <c r="D38" s="166">
        <f t="shared" si="2"/>
      </c>
      <c r="E38" s="166">
        <f t="shared" si="4"/>
      </c>
      <c r="F38" s="166">
        <f t="shared" si="5"/>
      </c>
      <c r="G38" s="166">
        <f t="shared" si="3"/>
      </c>
    </row>
    <row r="39" spans="2:7" ht="12.75">
      <c r="B39" s="163">
        <f t="shared" si="0"/>
      </c>
      <c r="C39" s="166">
        <f t="shared" si="1"/>
      </c>
      <c r="D39" s="166">
        <f t="shared" si="2"/>
      </c>
      <c r="E39" s="166">
        <f t="shared" si="4"/>
      </c>
      <c r="F39" s="166">
        <f t="shared" si="5"/>
      </c>
      <c r="G39" s="166">
        <f t="shared" si="3"/>
      </c>
    </row>
    <row r="40" spans="2:7" ht="12.75">
      <c r="B40" s="163">
        <f t="shared" si="0"/>
      </c>
      <c r="C40" s="166">
        <f t="shared" si="1"/>
      </c>
      <c r="D40" s="166">
        <f t="shared" si="2"/>
      </c>
      <c r="E40" s="166">
        <f t="shared" si="4"/>
      </c>
      <c r="F40" s="166">
        <f t="shared" si="5"/>
      </c>
      <c r="G40" s="166">
        <f t="shared" si="3"/>
      </c>
    </row>
    <row r="41" spans="2:7" ht="12.75">
      <c r="B41" s="163">
        <f t="shared" si="0"/>
      </c>
      <c r="C41" s="166">
        <f t="shared" si="1"/>
      </c>
      <c r="D41" s="166">
        <f t="shared" si="2"/>
      </c>
      <c r="E41" s="166">
        <f t="shared" si="4"/>
      </c>
      <c r="F41" s="166">
        <f t="shared" si="5"/>
      </c>
      <c r="G41" s="166">
        <f t="shared" si="3"/>
      </c>
    </row>
    <row r="42" spans="2:7" ht="12.75">
      <c r="B42" s="163">
        <f t="shared" si="0"/>
      </c>
      <c r="C42" s="166">
        <f t="shared" si="1"/>
      </c>
      <c r="D42" s="166">
        <f t="shared" si="2"/>
      </c>
      <c r="E42" s="166">
        <f t="shared" si="4"/>
      </c>
      <c r="F42" s="166">
        <f t="shared" si="5"/>
      </c>
      <c r="G42" s="166">
        <f t="shared" si="3"/>
      </c>
    </row>
    <row r="43" spans="2:7" ht="12.75">
      <c r="B43" s="163">
        <f t="shared" si="0"/>
      </c>
      <c r="C43" s="166">
        <f t="shared" si="1"/>
      </c>
      <c r="D43" s="166">
        <f t="shared" si="2"/>
      </c>
      <c r="E43" s="166">
        <f t="shared" si="4"/>
      </c>
      <c r="F43" s="166">
        <f t="shared" si="5"/>
      </c>
      <c r="G43" s="166">
        <f t="shared" si="3"/>
      </c>
    </row>
    <row r="44" spans="2:7" ht="12.75">
      <c r="B44" s="163">
        <f t="shared" si="0"/>
      </c>
      <c r="C44" s="166">
        <f t="shared" si="1"/>
      </c>
      <c r="D44" s="166">
        <f t="shared" si="2"/>
      </c>
      <c r="E44" s="166">
        <f t="shared" si="4"/>
      </c>
      <c r="F44" s="166">
        <f t="shared" si="5"/>
      </c>
      <c r="G44" s="166">
        <f t="shared" si="3"/>
      </c>
    </row>
    <row r="45" spans="2:7" ht="12.75">
      <c r="B45" s="163">
        <f t="shared" si="0"/>
      </c>
      <c r="C45" s="166">
        <f t="shared" si="1"/>
      </c>
      <c r="D45" s="166">
        <f t="shared" si="2"/>
      </c>
      <c r="E45" s="166">
        <f t="shared" si="4"/>
      </c>
      <c r="F45" s="166">
        <f t="shared" si="5"/>
      </c>
      <c r="G45" s="166">
        <f t="shared" si="3"/>
      </c>
    </row>
    <row r="46" spans="2:7" ht="12.75">
      <c r="B46" s="163">
        <f aca="true" t="shared" si="6" ref="B46:B77">IF(B45="","",IF(+B45+1&gt;$G$93,"",B45+1))</f>
      </c>
      <c r="C46" s="166">
        <f aca="true" t="shared" si="7" ref="C46:C77">IF(B46="","",IF(+B45+1&gt;$G$93,"",+G45))</f>
      </c>
      <c r="D46" s="166">
        <f aca="true" t="shared" si="8" ref="D46:D77">IF(B46="","",IF(+B45+1&gt;$G$93,"",-C46*$D$8))</f>
      </c>
      <c r="E46" s="166">
        <f t="shared" si="4"/>
      </c>
      <c r="F46" s="166">
        <f t="shared" si="5"/>
      </c>
      <c r="G46" s="166">
        <f aca="true" t="shared" si="9" ref="G46:G77">IF(B46="","",IF(+B45+1&gt;$G$93,"",+C46+E46))</f>
      </c>
    </row>
    <row r="47" spans="2:7" ht="12.75">
      <c r="B47" s="163">
        <f t="shared" si="6"/>
      </c>
      <c r="C47" s="166">
        <f t="shared" si="7"/>
      </c>
      <c r="D47" s="166">
        <f t="shared" si="8"/>
      </c>
      <c r="E47" s="166">
        <f t="shared" si="4"/>
      </c>
      <c r="F47" s="166">
        <f t="shared" si="5"/>
      </c>
      <c r="G47" s="166">
        <f t="shared" si="9"/>
      </c>
    </row>
    <row r="48" spans="2:7" ht="12.75">
      <c r="B48" s="163">
        <f t="shared" si="6"/>
      </c>
      <c r="C48" s="166">
        <f t="shared" si="7"/>
      </c>
      <c r="D48" s="166">
        <f t="shared" si="8"/>
      </c>
      <c r="E48" s="166">
        <f t="shared" si="4"/>
      </c>
      <c r="F48" s="166">
        <f t="shared" si="5"/>
      </c>
      <c r="G48" s="166">
        <f t="shared" si="9"/>
      </c>
    </row>
    <row r="49" spans="2:7" ht="12.75">
      <c r="B49" s="163">
        <f t="shared" si="6"/>
      </c>
      <c r="C49" s="166">
        <f t="shared" si="7"/>
      </c>
      <c r="D49" s="166">
        <f t="shared" si="8"/>
      </c>
      <c r="E49" s="166">
        <f t="shared" si="4"/>
      </c>
      <c r="F49" s="166">
        <f t="shared" si="5"/>
      </c>
      <c r="G49" s="166">
        <f t="shared" si="9"/>
      </c>
    </row>
    <row r="50" spans="2:7" ht="12.75">
      <c r="B50" s="163">
        <f t="shared" si="6"/>
      </c>
      <c r="C50" s="166">
        <f t="shared" si="7"/>
      </c>
      <c r="D50" s="166">
        <f t="shared" si="8"/>
      </c>
      <c r="E50" s="166">
        <f t="shared" si="4"/>
      </c>
      <c r="F50" s="166">
        <f t="shared" si="5"/>
      </c>
      <c r="G50" s="166">
        <f t="shared" si="9"/>
      </c>
    </row>
    <row r="51" spans="2:7" ht="12.75">
      <c r="B51" s="163">
        <f t="shared" si="6"/>
      </c>
      <c r="C51" s="166">
        <f t="shared" si="7"/>
      </c>
      <c r="D51" s="166">
        <f t="shared" si="8"/>
      </c>
      <c r="E51" s="166">
        <f t="shared" si="4"/>
      </c>
      <c r="F51" s="166">
        <f t="shared" si="5"/>
      </c>
      <c r="G51" s="166">
        <f t="shared" si="9"/>
      </c>
    </row>
    <row r="52" spans="2:7" ht="12.75">
      <c r="B52" s="163">
        <f t="shared" si="6"/>
      </c>
      <c r="C52" s="166">
        <f t="shared" si="7"/>
      </c>
      <c r="D52" s="166">
        <f t="shared" si="8"/>
      </c>
      <c r="E52" s="166">
        <f t="shared" si="4"/>
      </c>
      <c r="F52" s="166">
        <f t="shared" si="5"/>
      </c>
      <c r="G52" s="166">
        <f t="shared" si="9"/>
      </c>
    </row>
    <row r="53" spans="2:7" ht="12.75">
      <c r="B53" s="163">
        <f t="shared" si="6"/>
      </c>
      <c r="C53" s="166">
        <f t="shared" si="7"/>
      </c>
      <c r="D53" s="166">
        <f t="shared" si="8"/>
      </c>
      <c r="E53" s="166">
        <f t="shared" si="4"/>
      </c>
      <c r="F53" s="166">
        <f t="shared" si="5"/>
      </c>
      <c r="G53" s="166">
        <f t="shared" si="9"/>
      </c>
    </row>
    <row r="54" spans="2:7" ht="12.75">
      <c r="B54" s="163">
        <f t="shared" si="6"/>
      </c>
      <c r="C54" s="166">
        <f t="shared" si="7"/>
      </c>
      <c r="D54" s="166">
        <f t="shared" si="8"/>
      </c>
      <c r="E54" s="166">
        <f t="shared" si="4"/>
      </c>
      <c r="F54" s="166">
        <f t="shared" si="5"/>
      </c>
      <c r="G54" s="166">
        <f t="shared" si="9"/>
      </c>
    </row>
    <row r="55" spans="2:7" ht="12.75">
      <c r="B55" s="163">
        <f t="shared" si="6"/>
      </c>
      <c r="C55" s="166">
        <f t="shared" si="7"/>
      </c>
      <c r="D55" s="166">
        <f t="shared" si="8"/>
      </c>
      <c r="E55" s="166">
        <f t="shared" si="4"/>
      </c>
      <c r="F55" s="166">
        <f t="shared" si="5"/>
      </c>
      <c r="G55" s="166">
        <f t="shared" si="9"/>
      </c>
    </row>
    <row r="56" spans="2:7" ht="12.75">
      <c r="B56" s="163">
        <f t="shared" si="6"/>
      </c>
      <c r="C56" s="166">
        <f t="shared" si="7"/>
      </c>
      <c r="D56" s="166">
        <f t="shared" si="8"/>
      </c>
      <c r="E56" s="166">
        <f t="shared" si="4"/>
      </c>
      <c r="F56" s="166">
        <f t="shared" si="5"/>
      </c>
      <c r="G56" s="166">
        <f t="shared" si="9"/>
      </c>
    </row>
    <row r="57" spans="2:7" ht="12.75">
      <c r="B57" s="163">
        <f t="shared" si="6"/>
      </c>
      <c r="C57" s="166">
        <f t="shared" si="7"/>
      </c>
      <c r="D57" s="166">
        <f t="shared" si="8"/>
      </c>
      <c r="E57" s="166">
        <f t="shared" si="4"/>
      </c>
      <c r="F57" s="166">
        <f t="shared" si="5"/>
      </c>
      <c r="G57" s="166">
        <f t="shared" si="9"/>
      </c>
    </row>
    <row r="58" spans="2:7" ht="12.75">
      <c r="B58" s="163">
        <f t="shared" si="6"/>
      </c>
      <c r="C58" s="166">
        <f t="shared" si="7"/>
      </c>
      <c r="D58" s="166">
        <f t="shared" si="8"/>
      </c>
      <c r="E58" s="166">
        <f t="shared" si="4"/>
      </c>
      <c r="F58" s="166">
        <f t="shared" si="5"/>
      </c>
      <c r="G58" s="166">
        <f t="shared" si="9"/>
      </c>
    </row>
    <row r="59" spans="2:7" ht="12.75">
      <c r="B59" s="163">
        <f t="shared" si="6"/>
      </c>
      <c r="C59" s="166">
        <f t="shared" si="7"/>
      </c>
      <c r="D59" s="166">
        <f t="shared" si="8"/>
      </c>
      <c r="E59" s="166">
        <f t="shared" si="4"/>
      </c>
      <c r="F59" s="166">
        <f t="shared" si="5"/>
      </c>
      <c r="G59" s="166">
        <f t="shared" si="9"/>
      </c>
    </row>
    <row r="60" spans="2:7" ht="12.75">
      <c r="B60" s="163">
        <f t="shared" si="6"/>
      </c>
      <c r="C60" s="166">
        <f t="shared" si="7"/>
      </c>
      <c r="D60" s="166">
        <f t="shared" si="8"/>
      </c>
      <c r="E60" s="166">
        <f t="shared" si="4"/>
      </c>
      <c r="F60" s="166">
        <f t="shared" si="5"/>
      </c>
      <c r="G60" s="166">
        <f t="shared" si="9"/>
      </c>
    </row>
    <row r="61" spans="2:7" ht="12.75">
      <c r="B61" s="163">
        <f t="shared" si="6"/>
      </c>
      <c r="C61" s="166">
        <f t="shared" si="7"/>
      </c>
      <c r="D61" s="166">
        <f t="shared" si="8"/>
      </c>
      <c r="E61" s="166">
        <f t="shared" si="4"/>
      </c>
      <c r="F61" s="166">
        <f t="shared" si="5"/>
      </c>
      <c r="G61" s="166">
        <f t="shared" si="9"/>
      </c>
    </row>
    <row r="62" spans="2:7" ht="12.75">
      <c r="B62" s="163">
        <f t="shared" si="6"/>
      </c>
      <c r="C62" s="166">
        <f t="shared" si="7"/>
      </c>
      <c r="D62" s="166">
        <f t="shared" si="8"/>
      </c>
      <c r="E62" s="166">
        <f t="shared" si="4"/>
      </c>
      <c r="F62" s="166">
        <f t="shared" si="5"/>
      </c>
      <c r="G62" s="166">
        <f t="shared" si="9"/>
      </c>
    </row>
    <row r="63" spans="2:7" ht="12.75">
      <c r="B63" s="163">
        <f t="shared" si="6"/>
      </c>
      <c r="C63" s="166">
        <f t="shared" si="7"/>
      </c>
      <c r="D63" s="166">
        <f t="shared" si="8"/>
      </c>
      <c r="E63" s="166">
        <f t="shared" si="4"/>
      </c>
      <c r="F63" s="166">
        <f t="shared" si="5"/>
      </c>
      <c r="G63" s="166">
        <f t="shared" si="9"/>
      </c>
    </row>
    <row r="64" spans="2:7" ht="12.75">
      <c r="B64" s="163">
        <f t="shared" si="6"/>
      </c>
      <c r="C64" s="166">
        <f t="shared" si="7"/>
      </c>
      <c r="D64" s="166">
        <f t="shared" si="8"/>
      </c>
      <c r="E64" s="166">
        <f t="shared" si="4"/>
      </c>
      <c r="F64" s="166">
        <f t="shared" si="5"/>
      </c>
      <c r="G64" s="166">
        <f t="shared" si="9"/>
      </c>
    </row>
    <row r="65" spans="2:7" ht="12.75">
      <c r="B65" s="163">
        <f t="shared" si="6"/>
      </c>
      <c r="C65" s="166">
        <f t="shared" si="7"/>
      </c>
      <c r="D65" s="166">
        <f t="shared" si="8"/>
      </c>
      <c r="E65" s="166">
        <f t="shared" si="4"/>
      </c>
      <c r="F65" s="166">
        <f t="shared" si="5"/>
      </c>
      <c r="G65" s="166">
        <f t="shared" si="9"/>
      </c>
    </row>
    <row r="66" spans="2:7" ht="12.75">
      <c r="B66" s="163">
        <f t="shared" si="6"/>
      </c>
      <c r="C66" s="166">
        <f t="shared" si="7"/>
      </c>
      <c r="D66" s="166">
        <f t="shared" si="8"/>
      </c>
      <c r="E66" s="166">
        <f t="shared" si="4"/>
      </c>
      <c r="F66" s="166">
        <f t="shared" si="5"/>
      </c>
      <c r="G66" s="166">
        <f t="shared" si="9"/>
      </c>
    </row>
    <row r="67" spans="2:7" ht="12.75">
      <c r="B67" s="163">
        <f t="shared" si="6"/>
      </c>
      <c r="C67" s="166">
        <f t="shared" si="7"/>
      </c>
      <c r="D67" s="166">
        <f t="shared" si="8"/>
      </c>
      <c r="E67" s="166">
        <f t="shared" si="4"/>
      </c>
      <c r="F67" s="166">
        <f t="shared" si="5"/>
      </c>
      <c r="G67" s="166">
        <f t="shared" si="9"/>
      </c>
    </row>
    <row r="68" spans="2:7" ht="12.75">
      <c r="B68" s="163">
        <f t="shared" si="6"/>
      </c>
      <c r="C68" s="166">
        <f t="shared" si="7"/>
      </c>
      <c r="D68" s="166">
        <f t="shared" si="8"/>
      </c>
      <c r="E68" s="166">
        <f t="shared" si="4"/>
      </c>
      <c r="F68" s="166">
        <f t="shared" si="5"/>
      </c>
      <c r="G68" s="166">
        <f t="shared" si="9"/>
      </c>
    </row>
    <row r="69" spans="2:7" ht="12.75">
      <c r="B69" s="163">
        <f t="shared" si="6"/>
      </c>
      <c r="C69" s="166">
        <f t="shared" si="7"/>
      </c>
      <c r="D69" s="166">
        <f t="shared" si="8"/>
      </c>
      <c r="E69" s="166">
        <f t="shared" si="4"/>
      </c>
      <c r="F69" s="166">
        <f t="shared" si="5"/>
      </c>
      <c r="G69" s="166">
        <f t="shared" si="9"/>
      </c>
    </row>
    <row r="70" spans="2:7" ht="12.75">
      <c r="B70" s="163">
        <f t="shared" si="6"/>
      </c>
      <c r="C70" s="166">
        <f t="shared" si="7"/>
      </c>
      <c r="D70" s="166">
        <f t="shared" si="8"/>
      </c>
      <c r="E70" s="166">
        <f t="shared" si="4"/>
      </c>
      <c r="F70" s="166">
        <f t="shared" si="5"/>
      </c>
      <c r="G70" s="166">
        <f t="shared" si="9"/>
      </c>
    </row>
    <row r="71" spans="2:7" ht="12.75">
      <c r="B71" s="163">
        <f t="shared" si="6"/>
      </c>
      <c r="C71" s="166">
        <f t="shared" si="7"/>
      </c>
      <c r="D71" s="166">
        <f t="shared" si="8"/>
      </c>
      <c r="E71" s="166">
        <f t="shared" si="4"/>
      </c>
      <c r="F71" s="166">
        <f t="shared" si="5"/>
      </c>
      <c r="G71" s="166">
        <f t="shared" si="9"/>
      </c>
    </row>
    <row r="72" spans="2:7" ht="12.75">
      <c r="B72" s="163">
        <f t="shared" si="6"/>
      </c>
      <c r="C72" s="166">
        <f t="shared" si="7"/>
      </c>
      <c r="D72" s="166">
        <f t="shared" si="8"/>
      </c>
      <c r="E72" s="166">
        <f t="shared" si="4"/>
      </c>
      <c r="F72" s="166">
        <f t="shared" si="5"/>
      </c>
      <c r="G72" s="166">
        <f t="shared" si="9"/>
      </c>
    </row>
    <row r="73" spans="2:7" ht="12.75">
      <c r="B73" s="163">
        <f t="shared" si="6"/>
      </c>
      <c r="C73" s="166">
        <f t="shared" si="7"/>
      </c>
      <c r="D73" s="166">
        <f t="shared" si="8"/>
      </c>
      <c r="E73" s="166">
        <f t="shared" si="4"/>
      </c>
      <c r="F73" s="166">
        <f t="shared" si="5"/>
      </c>
      <c r="G73" s="166">
        <f t="shared" si="9"/>
      </c>
    </row>
    <row r="74" spans="2:7" ht="12.75">
      <c r="B74" s="163">
        <f t="shared" si="6"/>
      </c>
      <c r="C74" s="166">
        <f t="shared" si="7"/>
      </c>
      <c r="D74" s="166">
        <f t="shared" si="8"/>
      </c>
      <c r="E74" s="166">
        <f t="shared" si="4"/>
      </c>
      <c r="F74" s="166">
        <f t="shared" si="5"/>
      </c>
      <c r="G74" s="166">
        <f t="shared" si="9"/>
      </c>
    </row>
    <row r="75" spans="2:7" ht="12.75">
      <c r="B75" s="163">
        <f t="shared" si="6"/>
      </c>
      <c r="C75" s="166">
        <f t="shared" si="7"/>
      </c>
      <c r="D75" s="166">
        <f t="shared" si="8"/>
      </c>
      <c r="E75" s="166">
        <f t="shared" si="4"/>
      </c>
      <c r="F75" s="166">
        <f t="shared" si="5"/>
      </c>
      <c r="G75" s="166">
        <f t="shared" si="9"/>
      </c>
    </row>
    <row r="76" spans="2:7" ht="12.75">
      <c r="B76" s="163">
        <f t="shared" si="6"/>
      </c>
      <c r="C76" s="166">
        <f t="shared" si="7"/>
      </c>
      <c r="D76" s="166">
        <f t="shared" si="8"/>
      </c>
      <c r="E76" s="166">
        <f t="shared" si="4"/>
      </c>
      <c r="F76" s="166">
        <f t="shared" si="5"/>
      </c>
      <c r="G76" s="166">
        <f t="shared" si="9"/>
      </c>
    </row>
    <row r="77" spans="2:7" ht="12.75">
      <c r="B77" s="163">
        <f t="shared" si="6"/>
      </c>
      <c r="C77" s="166">
        <f t="shared" si="7"/>
      </c>
      <c r="D77" s="166">
        <f t="shared" si="8"/>
      </c>
      <c r="E77" s="166">
        <f t="shared" si="4"/>
      </c>
      <c r="F77" s="166">
        <f t="shared" si="5"/>
      </c>
      <c r="G77" s="166">
        <f t="shared" si="9"/>
      </c>
    </row>
    <row r="78" spans="2:7" ht="12.75">
      <c r="B78" s="163">
        <f aca="true" t="shared" si="10" ref="B78:B92">IF(B77="","",IF(+B77+1&gt;$G$93,"",B77+1))</f>
      </c>
      <c r="C78" s="166">
        <f aca="true" t="shared" si="11" ref="C78:C92">IF(B78="","",IF(+B77+1&gt;$G$93,"",+G77))</f>
      </c>
      <c r="D78" s="166">
        <f aca="true" t="shared" si="12" ref="D78:D92">IF(B78="","",IF(+B77+1&gt;$G$93,"",-C78*$D$8))</f>
      </c>
      <c r="E78" s="166">
        <f t="shared" si="4"/>
      </c>
      <c r="F78" s="166">
        <f t="shared" si="5"/>
      </c>
      <c r="G78" s="166">
        <f aca="true" t="shared" si="13" ref="G78:G92">IF(B78="","",IF(+B77+1&gt;$G$93,"",+C78+E78))</f>
      </c>
    </row>
    <row r="79" spans="2:7" ht="12.75">
      <c r="B79" s="163">
        <f t="shared" si="10"/>
      </c>
      <c r="C79" s="166">
        <f t="shared" si="11"/>
      </c>
      <c r="D79" s="166">
        <f t="shared" si="12"/>
      </c>
      <c r="E79" s="166">
        <f aca="true" t="shared" si="14" ref="E79:E92">IF(B79="","",IF(+B78+1&gt;$G$93,"",-$C$13/$D$9))</f>
      </c>
      <c r="F79" s="166">
        <f aca="true" t="shared" si="15" ref="F79:F92">IF(B79="","",IF(+B78+1&gt;$G$93,"",+D79+E79))</f>
      </c>
      <c r="G79" s="166">
        <f t="shared" si="13"/>
      </c>
    </row>
    <row r="80" spans="2:7" ht="12.75">
      <c r="B80" s="163">
        <f t="shared" si="10"/>
      </c>
      <c r="C80" s="166">
        <f t="shared" si="11"/>
      </c>
      <c r="D80" s="166">
        <f t="shared" si="12"/>
      </c>
      <c r="E80" s="166">
        <f t="shared" si="14"/>
      </c>
      <c r="F80" s="166">
        <f t="shared" si="15"/>
      </c>
      <c r="G80" s="166">
        <f t="shared" si="13"/>
      </c>
    </row>
    <row r="81" spans="2:7" ht="12.75">
      <c r="B81" s="163">
        <f t="shared" si="10"/>
      </c>
      <c r="C81" s="166">
        <f t="shared" si="11"/>
      </c>
      <c r="D81" s="166">
        <f t="shared" si="12"/>
      </c>
      <c r="E81" s="166">
        <f t="shared" si="14"/>
      </c>
      <c r="F81" s="166">
        <f t="shared" si="15"/>
      </c>
      <c r="G81" s="166">
        <f t="shared" si="13"/>
      </c>
    </row>
    <row r="82" spans="2:7" ht="12.75">
      <c r="B82" s="163">
        <f t="shared" si="10"/>
      </c>
      <c r="C82" s="166">
        <f t="shared" si="11"/>
      </c>
      <c r="D82" s="166">
        <f t="shared" si="12"/>
      </c>
      <c r="E82" s="166">
        <f t="shared" si="14"/>
      </c>
      <c r="F82" s="166">
        <f t="shared" si="15"/>
      </c>
      <c r="G82" s="166">
        <f t="shared" si="13"/>
      </c>
    </row>
    <row r="83" spans="2:7" ht="12.75">
      <c r="B83" s="163">
        <f t="shared" si="10"/>
      </c>
      <c r="C83" s="166">
        <f t="shared" si="11"/>
      </c>
      <c r="D83" s="166">
        <f t="shared" si="12"/>
      </c>
      <c r="E83" s="166">
        <f t="shared" si="14"/>
      </c>
      <c r="F83" s="166">
        <f t="shared" si="15"/>
      </c>
      <c r="G83" s="166">
        <f t="shared" si="13"/>
      </c>
    </row>
    <row r="84" spans="2:7" ht="12.75">
      <c r="B84" s="163">
        <f t="shared" si="10"/>
      </c>
      <c r="C84" s="166">
        <f t="shared" si="11"/>
      </c>
      <c r="D84" s="166">
        <f t="shared" si="12"/>
      </c>
      <c r="E84" s="166">
        <f t="shared" si="14"/>
      </c>
      <c r="F84" s="166">
        <f t="shared" si="15"/>
      </c>
      <c r="G84" s="166">
        <f t="shared" si="13"/>
      </c>
    </row>
    <row r="85" spans="2:7" ht="12.75">
      <c r="B85" s="163">
        <f t="shared" si="10"/>
      </c>
      <c r="C85" s="166">
        <f t="shared" si="11"/>
      </c>
      <c r="D85" s="166">
        <f t="shared" si="12"/>
      </c>
      <c r="E85" s="166">
        <f t="shared" si="14"/>
      </c>
      <c r="F85" s="166">
        <f t="shared" si="15"/>
      </c>
      <c r="G85" s="166">
        <f t="shared" si="13"/>
      </c>
    </row>
    <row r="86" spans="2:7" ht="12.75">
      <c r="B86" s="163">
        <f t="shared" si="10"/>
      </c>
      <c r="C86" s="166">
        <f t="shared" si="11"/>
      </c>
      <c r="D86" s="166">
        <f t="shared" si="12"/>
      </c>
      <c r="E86" s="166">
        <f t="shared" si="14"/>
      </c>
      <c r="F86" s="166">
        <f t="shared" si="15"/>
      </c>
      <c r="G86" s="166">
        <f t="shared" si="13"/>
      </c>
    </row>
    <row r="87" spans="2:7" ht="12.75">
      <c r="B87" s="163">
        <f t="shared" si="10"/>
      </c>
      <c r="C87" s="166">
        <f t="shared" si="11"/>
      </c>
      <c r="D87" s="166">
        <f t="shared" si="12"/>
      </c>
      <c r="E87" s="166">
        <f t="shared" si="14"/>
      </c>
      <c r="F87" s="166">
        <f t="shared" si="15"/>
      </c>
      <c r="G87" s="166">
        <f t="shared" si="13"/>
      </c>
    </row>
    <row r="88" spans="2:7" ht="12.75">
      <c r="B88" s="163">
        <f t="shared" si="10"/>
      </c>
      <c r="C88" s="166">
        <f t="shared" si="11"/>
      </c>
      <c r="D88" s="166">
        <f t="shared" si="12"/>
      </c>
      <c r="E88" s="166">
        <f t="shared" si="14"/>
      </c>
      <c r="F88" s="166">
        <f t="shared" si="15"/>
      </c>
      <c r="G88" s="166">
        <f t="shared" si="13"/>
      </c>
    </row>
    <row r="89" spans="2:7" ht="12.75">
      <c r="B89" s="163">
        <f t="shared" si="10"/>
      </c>
      <c r="C89" s="166">
        <f t="shared" si="11"/>
      </c>
      <c r="D89" s="166">
        <f t="shared" si="12"/>
      </c>
      <c r="E89" s="166">
        <f t="shared" si="14"/>
      </c>
      <c r="F89" s="166">
        <f t="shared" si="15"/>
      </c>
      <c r="G89" s="166">
        <f t="shared" si="13"/>
      </c>
    </row>
    <row r="90" spans="2:7" ht="12.75">
      <c r="B90" s="163">
        <f t="shared" si="10"/>
      </c>
      <c r="C90" s="166">
        <f t="shared" si="11"/>
      </c>
      <c r="D90" s="166">
        <f t="shared" si="12"/>
      </c>
      <c r="E90" s="166">
        <f t="shared" si="14"/>
      </c>
      <c r="F90" s="166">
        <f t="shared" si="15"/>
      </c>
      <c r="G90" s="166">
        <f t="shared" si="13"/>
      </c>
    </row>
    <row r="91" spans="2:7" ht="12.75">
      <c r="B91" s="163">
        <f t="shared" si="10"/>
      </c>
      <c r="C91" s="166">
        <f t="shared" si="11"/>
      </c>
      <c r="D91" s="166">
        <f t="shared" si="12"/>
      </c>
      <c r="E91" s="166">
        <f t="shared" si="14"/>
      </c>
      <c r="F91" s="166">
        <f t="shared" si="15"/>
      </c>
      <c r="G91" s="166">
        <f t="shared" si="13"/>
      </c>
    </row>
    <row r="92" spans="2:7" ht="13.5" thickBot="1">
      <c r="B92" s="163">
        <f t="shared" si="10"/>
      </c>
      <c r="C92" s="166">
        <f t="shared" si="11"/>
      </c>
      <c r="D92" s="166">
        <f t="shared" si="12"/>
      </c>
      <c r="E92" s="166">
        <f t="shared" si="14"/>
      </c>
      <c r="F92" s="166">
        <f t="shared" si="15"/>
      </c>
      <c r="G92" s="167">
        <f t="shared" si="13"/>
      </c>
    </row>
    <row r="93" spans="6:7" s="59" customFormat="1" ht="13.5" thickBot="1">
      <c r="F93" s="62" t="s">
        <v>70</v>
      </c>
      <c r="G93" s="63">
        <f>+D9+D7-1</f>
        <v>15</v>
      </c>
    </row>
    <row r="95" spans="2:7" ht="20.25">
      <c r="B95" s="60" t="s">
        <v>72</v>
      </c>
      <c r="C95" s="44"/>
      <c r="D95" s="44"/>
      <c r="E95" s="44"/>
      <c r="F95" s="44"/>
      <c r="G95" s="44"/>
    </row>
    <row r="96" spans="5:7" ht="12.75">
      <c r="E96" s="162"/>
      <c r="F96" s="162"/>
      <c r="G96" s="162"/>
    </row>
    <row r="97" spans="2:7" ht="15.75">
      <c r="B97" s="61" t="s">
        <v>71</v>
      </c>
      <c r="E97" s="162"/>
      <c r="F97" s="162"/>
      <c r="G97" s="162"/>
    </row>
    <row r="98" spans="5:7" ht="12.75">
      <c r="E98" s="162"/>
      <c r="F98" s="162"/>
      <c r="G98" s="162"/>
    </row>
  </sheetData>
  <mergeCells count="3">
    <mergeCell ref="D11:F11"/>
    <mergeCell ref="B4:G4"/>
    <mergeCell ref="B2:G2"/>
  </mergeCells>
  <printOptions/>
  <pageMargins left="0.75" right="0.75" top="1" bottom="1" header="0.492125985" footer="0.49212598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21"/>
  <dimension ref="B2:AH227"/>
  <sheetViews>
    <sheetView zoomScale="85" zoomScaleNormal="85" workbookViewId="0" topLeftCell="A1">
      <selection activeCell="B2" sqref="B2:G2"/>
    </sheetView>
  </sheetViews>
  <sheetFormatPr defaultColWidth="9.140625" defaultRowHeight="12.75"/>
  <cols>
    <col min="2" max="2" width="12.28125" style="0" customWidth="1"/>
    <col min="3" max="3" width="14.140625" style="0" customWidth="1"/>
    <col min="4" max="7" width="12.28125" style="0" customWidth="1"/>
    <col min="9" max="10" width="9.140625" style="173" customWidth="1"/>
    <col min="11" max="11" width="10.8515625" style="173" bestFit="1" customWidth="1"/>
    <col min="12" max="12" width="9.140625" style="173" customWidth="1"/>
    <col min="30" max="30" width="2.8515625" style="0" customWidth="1"/>
    <col min="32" max="32" width="9.28125" style="0" bestFit="1" customWidth="1"/>
    <col min="34" max="34" width="11.140625" style="0" customWidth="1"/>
  </cols>
  <sheetData>
    <row r="1" ht="13.5" thickBot="1"/>
    <row r="2" spans="2:12" s="49" customFormat="1" ht="28.5" thickBot="1">
      <c r="B2" s="282" t="s">
        <v>60</v>
      </c>
      <c r="C2" s="283"/>
      <c r="D2" s="283"/>
      <c r="E2" s="283"/>
      <c r="F2" s="283"/>
      <c r="G2" s="284"/>
      <c r="I2" s="174"/>
      <c r="J2" s="174"/>
      <c r="K2" s="174"/>
      <c r="L2" s="174"/>
    </row>
    <row r="3" ht="13.5" thickBot="1"/>
    <row r="4" spans="2:33" s="43" customFormat="1" ht="21" thickBot="1">
      <c r="B4" s="279" t="s">
        <v>143</v>
      </c>
      <c r="C4" s="280"/>
      <c r="D4" s="280"/>
      <c r="E4" s="280"/>
      <c r="F4" s="280"/>
      <c r="G4" s="281"/>
      <c r="I4" s="175"/>
      <c r="J4" s="175"/>
      <c r="K4" s="175"/>
      <c r="L4" s="175"/>
      <c r="AB4" s="279" t="s">
        <v>81</v>
      </c>
      <c r="AC4" s="280"/>
      <c r="AD4" s="280"/>
      <c r="AE4" s="280"/>
      <c r="AF4" s="280"/>
      <c r="AG4" s="281"/>
    </row>
    <row r="5" ht="13.5" thickBot="1"/>
    <row r="6" spans="2:32" ht="13.5" thickBot="1">
      <c r="B6" s="64" t="s">
        <v>86</v>
      </c>
      <c r="C6" s="172">
        <v>0.01</v>
      </c>
      <c r="D6" s="162"/>
      <c r="E6" s="162"/>
      <c r="F6" s="28" t="s">
        <v>84</v>
      </c>
      <c r="G6" s="65">
        <f>NPV(C6,C11:C89)+C10</f>
        <v>380.2958552888913</v>
      </c>
      <c r="AB6" s="87" t="s">
        <v>61</v>
      </c>
      <c r="AC6" s="87" t="s">
        <v>109</v>
      </c>
      <c r="AE6" s="83" t="s">
        <v>110</v>
      </c>
      <c r="AF6" s="84">
        <v>0.04</v>
      </c>
    </row>
    <row r="7" spans="4:29" ht="13.5" thickBot="1">
      <c r="D7" s="162"/>
      <c r="E7" s="162"/>
      <c r="F7" s="34" t="s">
        <v>85</v>
      </c>
      <c r="G7" s="66">
        <f>IRR(C10:C89)</f>
        <v>0.2885843468214243</v>
      </c>
      <c r="AB7" s="82">
        <v>0</v>
      </c>
      <c r="AC7" s="82">
        <v>-800</v>
      </c>
    </row>
    <row r="8" spans="2:32" ht="13.5" thickBot="1">
      <c r="B8" s="46" t="s">
        <v>61</v>
      </c>
      <c r="C8" s="46" t="s">
        <v>82</v>
      </c>
      <c r="D8" s="162"/>
      <c r="E8" s="162"/>
      <c r="AB8" s="82">
        <v>1</v>
      </c>
      <c r="AC8" s="82">
        <v>500</v>
      </c>
      <c r="AE8" s="83" t="s">
        <v>84</v>
      </c>
      <c r="AF8" s="85">
        <f>NPV(AF6,AC8:AC11)+AC7</f>
        <v>488.2514617835509</v>
      </c>
    </row>
    <row r="9" spans="2:29" ht="13.5" thickBot="1">
      <c r="B9" s="47" t="s">
        <v>0</v>
      </c>
      <c r="C9" s="47" t="s">
        <v>83</v>
      </c>
      <c r="D9" s="162"/>
      <c r="E9" s="162"/>
      <c r="F9" s="286" t="s">
        <v>123</v>
      </c>
      <c r="G9" s="287"/>
      <c r="J9" s="176"/>
      <c r="K9" s="177"/>
      <c r="AB9" s="82">
        <v>2</v>
      </c>
      <c r="AC9" s="82">
        <v>400</v>
      </c>
    </row>
    <row r="10" spans="2:31" ht="12.75">
      <c r="B10" s="170">
        <v>0</v>
      </c>
      <c r="C10" s="171">
        <v>-800</v>
      </c>
      <c r="D10" s="162"/>
      <c r="E10" s="162"/>
      <c r="F10" s="288" t="str">
        <f>+D203</f>
        <v>[f] [REG] 800 [CHS]  [g] [CF0] 600 [g] [CFj] 400 [g] [CFj] 200 [g] [CFj] 1 [i] [f] [NPV] Visor =&gt; 380,2959</v>
      </c>
      <c r="G10" s="289"/>
      <c r="J10" s="176"/>
      <c r="K10" s="177"/>
      <c r="AB10" s="82">
        <v>3</v>
      </c>
      <c r="AC10" s="82">
        <v>300</v>
      </c>
      <c r="AE10" t="s">
        <v>114</v>
      </c>
    </row>
    <row r="11" spans="2:29" ht="12.75">
      <c r="B11" s="170">
        <f>+B10+1</f>
        <v>1</v>
      </c>
      <c r="C11" s="171">
        <v>600</v>
      </c>
      <c r="D11" s="162"/>
      <c r="E11" s="162"/>
      <c r="F11" s="290"/>
      <c r="G11" s="291"/>
      <c r="J11" s="176"/>
      <c r="K11" s="177"/>
      <c r="AB11" s="82">
        <v>4</v>
      </c>
      <c r="AC11" s="82">
        <v>200</v>
      </c>
    </row>
    <row r="12" spans="2:32" ht="12.75">
      <c r="B12" s="170">
        <f aca="true" t="shared" si="0" ref="B12:B75">+B11+1</f>
        <v>2</v>
      </c>
      <c r="C12" s="171">
        <v>400</v>
      </c>
      <c r="D12" s="162"/>
      <c r="E12" s="162"/>
      <c r="F12" s="290"/>
      <c r="G12" s="291"/>
      <c r="J12" s="176"/>
      <c r="K12" s="177"/>
      <c r="AF12" s="86" t="s">
        <v>111</v>
      </c>
    </row>
    <row r="13" spans="2:32" ht="12.75">
      <c r="B13" s="170">
        <f t="shared" si="0"/>
        <v>3</v>
      </c>
      <c r="C13" s="171">
        <v>200</v>
      </c>
      <c r="D13" s="162"/>
      <c r="E13" s="162"/>
      <c r="F13" s="290"/>
      <c r="G13" s="291"/>
      <c r="J13" s="176"/>
      <c r="K13" s="177"/>
      <c r="AF13" s="86" t="s">
        <v>112</v>
      </c>
    </row>
    <row r="14" spans="2:32" ht="12.75">
      <c r="B14" s="170">
        <f t="shared" si="0"/>
        <v>4</v>
      </c>
      <c r="C14" s="171"/>
      <c r="F14" s="290"/>
      <c r="G14" s="291"/>
      <c r="J14" s="176"/>
      <c r="K14" s="177"/>
      <c r="AF14" s="86" t="s">
        <v>113</v>
      </c>
    </row>
    <row r="15" spans="2:11" ht="13.5" thickBot="1">
      <c r="B15" s="170">
        <f t="shared" si="0"/>
        <v>5</v>
      </c>
      <c r="C15" s="171"/>
      <c r="F15" s="292"/>
      <c r="G15" s="293"/>
      <c r="J15" s="176"/>
      <c r="K15" s="177"/>
    </row>
    <row r="16" spans="2:11" ht="13.5" thickBot="1">
      <c r="B16" s="170">
        <f t="shared" si="0"/>
        <v>6</v>
      </c>
      <c r="C16" s="171"/>
      <c r="J16" s="176"/>
      <c r="K16" s="177"/>
    </row>
    <row r="17" spans="2:34" ht="21" thickBot="1">
      <c r="B17" s="170">
        <f t="shared" si="0"/>
        <v>7</v>
      </c>
      <c r="C17" s="171"/>
      <c r="F17" s="286" t="s">
        <v>124</v>
      </c>
      <c r="G17" s="287"/>
      <c r="J17" s="176"/>
      <c r="K17" s="177"/>
      <c r="AB17" s="279" t="s">
        <v>81</v>
      </c>
      <c r="AC17" s="280"/>
      <c r="AD17" s="280"/>
      <c r="AE17" s="280"/>
      <c r="AF17" s="280"/>
      <c r="AG17" s="281"/>
      <c r="AH17" s="43"/>
    </row>
    <row r="18" spans="2:11" ht="12.75">
      <c r="B18" s="170">
        <f t="shared" si="0"/>
        <v>8</v>
      </c>
      <c r="C18" s="171"/>
      <c r="F18" s="288" t="str">
        <f>+D199</f>
        <v>[f] [REG] 800 [CHS]  [g] [CF0] 600 [g] [CFj] 400 [g] [CFj] 200 [g] [CFj]  [f] [IRR] Visor =&gt;28,8584</v>
      </c>
      <c r="G18" s="294"/>
      <c r="J18" s="176"/>
      <c r="K18" s="177"/>
    </row>
    <row r="19" spans="2:32" ht="12.75">
      <c r="B19" s="170">
        <f t="shared" si="0"/>
        <v>9</v>
      </c>
      <c r="C19" s="171"/>
      <c r="F19" s="295"/>
      <c r="G19" s="296"/>
      <c r="J19" s="176"/>
      <c r="K19" s="177"/>
      <c r="AB19" s="87" t="s">
        <v>116</v>
      </c>
      <c r="AC19" s="87" t="s">
        <v>109</v>
      </c>
      <c r="AE19" s="89" t="s">
        <v>110</v>
      </c>
      <c r="AF19" s="90">
        <v>0.04</v>
      </c>
    </row>
    <row r="20" spans="2:29" ht="12.75">
      <c r="B20" s="170">
        <f t="shared" si="0"/>
        <v>10</v>
      </c>
      <c r="C20" s="171"/>
      <c r="F20" s="295"/>
      <c r="G20" s="296"/>
      <c r="J20" s="176"/>
      <c r="K20" s="177"/>
      <c r="AB20" s="88">
        <v>36161</v>
      </c>
      <c r="AC20" s="82">
        <v>-600</v>
      </c>
    </row>
    <row r="21" spans="2:32" ht="12.75">
      <c r="B21" s="170">
        <f t="shared" si="0"/>
        <v>11</v>
      </c>
      <c r="C21" s="171"/>
      <c r="F21" s="295"/>
      <c r="G21" s="296"/>
      <c r="J21" s="176"/>
      <c r="K21" s="177"/>
      <c r="AB21" s="88">
        <v>36165</v>
      </c>
      <c r="AC21" s="82">
        <v>500</v>
      </c>
      <c r="AE21" s="89" t="s">
        <v>115</v>
      </c>
      <c r="AF21" s="91" t="e">
        <f>_XLL.XVPL(AF19,AC20:AC24,AB20:AB24)</f>
        <v>#NAME?</v>
      </c>
    </row>
    <row r="22" spans="2:29" ht="12.75">
      <c r="B22" s="170">
        <f t="shared" si="0"/>
        <v>12</v>
      </c>
      <c r="C22" s="171"/>
      <c r="F22" s="295"/>
      <c r="G22" s="296"/>
      <c r="J22" s="176"/>
      <c r="K22" s="177"/>
      <c r="AB22" s="88">
        <v>36231</v>
      </c>
      <c r="AC22" s="82">
        <v>400</v>
      </c>
    </row>
    <row r="23" spans="2:31" ht="13.5" thickBot="1">
      <c r="B23" s="170">
        <f t="shared" si="0"/>
        <v>13</v>
      </c>
      <c r="C23" s="171"/>
      <c r="F23" s="297"/>
      <c r="G23" s="298"/>
      <c r="J23" s="176"/>
      <c r="K23" s="177"/>
      <c r="AB23" s="88">
        <v>36295</v>
      </c>
      <c r="AC23" s="82">
        <v>300</v>
      </c>
      <c r="AE23" t="s">
        <v>117</v>
      </c>
    </row>
    <row r="24" spans="2:29" ht="12.75">
      <c r="B24" s="170">
        <f t="shared" si="0"/>
        <v>14</v>
      </c>
      <c r="C24" s="171"/>
      <c r="J24" s="176"/>
      <c r="K24" s="177"/>
      <c r="AB24" s="88">
        <v>36327</v>
      </c>
      <c r="AC24" s="82">
        <v>200</v>
      </c>
    </row>
    <row r="25" spans="2:32" ht="12.75">
      <c r="B25" s="170">
        <f t="shared" si="0"/>
        <v>15</v>
      </c>
      <c r="C25" s="171"/>
      <c r="J25" s="176"/>
      <c r="K25" s="177"/>
      <c r="AF25" s="86"/>
    </row>
    <row r="26" spans="2:32" ht="12.75">
      <c r="B26" s="170">
        <f t="shared" si="0"/>
        <v>16</v>
      </c>
      <c r="C26" s="171"/>
      <c r="J26" s="176"/>
      <c r="K26" s="177"/>
      <c r="AF26" s="86"/>
    </row>
    <row r="27" spans="2:32" ht="13.5" thickBot="1">
      <c r="B27" s="170">
        <f t="shared" si="0"/>
        <v>17</v>
      </c>
      <c r="C27" s="171"/>
      <c r="J27" s="176"/>
      <c r="K27" s="177"/>
      <c r="AF27" s="86"/>
    </row>
    <row r="28" spans="2:34" ht="21" thickBot="1">
      <c r="B28" s="170">
        <f t="shared" si="0"/>
        <v>18</v>
      </c>
      <c r="C28" s="171"/>
      <c r="J28" s="176"/>
      <c r="K28" s="177"/>
      <c r="AB28" s="279" t="s">
        <v>81</v>
      </c>
      <c r="AC28" s="280"/>
      <c r="AD28" s="280"/>
      <c r="AE28" s="280"/>
      <c r="AF28" s="280"/>
      <c r="AG28" s="281"/>
      <c r="AH28" s="43"/>
    </row>
    <row r="29" spans="2:11" ht="12.75">
      <c r="B29" s="170">
        <f t="shared" si="0"/>
        <v>19</v>
      </c>
      <c r="C29" s="171"/>
      <c r="J29" s="176"/>
      <c r="K29" s="177"/>
    </row>
    <row r="30" spans="2:32" ht="12.75">
      <c r="B30" s="170">
        <f t="shared" si="0"/>
        <v>20</v>
      </c>
      <c r="C30" s="171"/>
      <c r="J30" s="176"/>
      <c r="K30" s="177"/>
      <c r="AB30" s="87" t="s">
        <v>116</v>
      </c>
      <c r="AC30" s="87" t="s">
        <v>109</v>
      </c>
      <c r="AE30" s="93"/>
      <c r="AF30" s="94"/>
    </row>
    <row r="31" spans="2:29" ht="12.75">
      <c r="B31" s="170">
        <f t="shared" si="0"/>
        <v>21</v>
      </c>
      <c r="C31" s="171"/>
      <c r="J31" s="176"/>
      <c r="K31" s="177"/>
      <c r="AB31" s="88">
        <v>36161</v>
      </c>
      <c r="AC31" s="82">
        <v>-550</v>
      </c>
    </row>
    <row r="32" spans="2:32" ht="12.75">
      <c r="B32" s="170">
        <f t="shared" si="0"/>
        <v>22</v>
      </c>
      <c r="C32" s="171"/>
      <c r="J32" s="176"/>
      <c r="K32" s="177"/>
      <c r="AB32" s="88">
        <v>36165</v>
      </c>
      <c r="AC32" s="82">
        <v>140</v>
      </c>
      <c r="AE32" s="89" t="s">
        <v>118</v>
      </c>
      <c r="AF32" s="92" t="e">
        <f>_XLL.XTIR(AC31:AC35,AB31:AB35)</f>
        <v>#NAME?</v>
      </c>
    </row>
    <row r="33" spans="2:29" ht="12.75">
      <c r="B33" s="170">
        <f t="shared" si="0"/>
        <v>23</v>
      </c>
      <c r="C33" s="171"/>
      <c r="J33" s="176"/>
      <c r="K33" s="177"/>
      <c r="AB33" s="88">
        <v>36231</v>
      </c>
      <c r="AC33" s="82">
        <v>150</v>
      </c>
    </row>
    <row r="34" spans="2:31" ht="12.75">
      <c r="B34" s="170">
        <f t="shared" si="0"/>
        <v>24</v>
      </c>
      <c r="C34" s="171"/>
      <c r="J34" s="176"/>
      <c r="K34" s="177"/>
      <c r="AB34" s="88">
        <v>36295</v>
      </c>
      <c r="AC34" s="82">
        <v>155</v>
      </c>
      <c r="AE34" t="s">
        <v>119</v>
      </c>
    </row>
    <row r="35" spans="2:29" ht="12.75">
      <c r="B35" s="170">
        <f t="shared" si="0"/>
        <v>25</v>
      </c>
      <c r="C35" s="171"/>
      <c r="J35" s="176"/>
      <c r="K35" s="177"/>
      <c r="AB35" s="88">
        <v>36327</v>
      </c>
      <c r="AC35" s="82">
        <v>160</v>
      </c>
    </row>
    <row r="36" spans="2:32" ht="12.75">
      <c r="B36" s="170">
        <f t="shared" si="0"/>
        <v>26</v>
      </c>
      <c r="C36" s="171"/>
      <c r="J36" s="176"/>
      <c r="K36" s="177"/>
      <c r="AF36" s="86"/>
    </row>
    <row r="37" spans="2:11" ht="12.75">
      <c r="B37" s="170">
        <f t="shared" si="0"/>
        <v>27</v>
      </c>
      <c r="C37" s="171"/>
      <c r="J37" s="176"/>
      <c r="K37" s="177"/>
    </row>
    <row r="38" spans="2:11" ht="12.75">
      <c r="B38" s="170">
        <f t="shared" si="0"/>
        <v>28</v>
      </c>
      <c r="C38" s="171"/>
      <c r="J38" s="176"/>
      <c r="K38" s="177"/>
    </row>
    <row r="39" spans="2:11" ht="12.75">
      <c r="B39" s="170">
        <f t="shared" si="0"/>
        <v>29</v>
      </c>
      <c r="C39" s="171"/>
      <c r="J39" s="176"/>
      <c r="K39" s="177"/>
    </row>
    <row r="40" spans="2:11" ht="12.75">
      <c r="B40" s="170">
        <f t="shared" si="0"/>
        <v>30</v>
      </c>
      <c r="C40" s="171"/>
      <c r="J40" s="176"/>
      <c r="K40" s="177"/>
    </row>
    <row r="41" spans="2:11" ht="12.75">
      <c r="B41" s="170">
        <f t="shared" si="0"/>
        <v>31</v>
      </c>
      <c r="C41" s="171"/>
      <c r="J41" s="176"/>
      <c r="K41" s="177"/>
    </row>
    <row r="42" spans="2:11" ht="12.75">
      <c r="B42" s="170">
        <f t="shared" si="0"/>
        <v>32</v>
      </c>
      <c r="C42" s="171"/>
      <c r="J42" s="176"/>
      <c r="K42" s="177"/>
    </row>
    <row r="43" spans="2:11" ht="12.75">
      <c r="B43" s="170">
        <f t="shared" si="0"/>
        <v>33</v>
      </c>
      <c r="C43" s="171"/>
      <c r="J43" s="176"/>
      <c r="K43" s="177"/>
    </row>
    <row r="44" spans="2:11" ht="12.75">
      <c r="B44" s="170">
        <f t="shared" si="0"/>
        <v>34</v>
      </c>
      <c r="C44" s="171"/>
      <c r="J44" s="176"/>
      <c r="K44" s="177"/>
    </row>
    <row r="45" spans="2:11" ht="12.75">
      <c r="B45" s="170">
        <f t="shared" si="0"/>
        <v>35</v>
      </c>
      <c r="C45" s="171"/>
      <c r="J45" s="176"/>
      <c r="K45" s="177"/>
    </row>
    <row r="46" spans="2:11" ht="12.75">
      <c r="B46" s="170">
        <f t="shared" si="0"/>
        <v>36</v>
      </c>
      <c r="C46" s="171"/>
      <c r="J46" s="176"/>
      <c r="K46" s="177"/>
    </row>
    <row r="47" spans="2:11" ht="12.75">
      <c r="B47" s="170">
        <f t="shared" si="0"/>
        <v>37</v>
      </c>
      <c r="C47" s="171"/>
      <c r="J47" s="176"/>
      <c r="K47" s="177"/>
    </row>
    <row r="48" spans="2:11" ht="12.75">
      <c r="B48" s="170">
        <f t="shared" si="0"/>
        <v>38</v>
      </c>
      <c r="C48" s="171"/>
      <c r="J48" s="176"/>
      <c r="K48" s="177"/>
    </row>
    <row r="49" spans="2:11" ht="12.75">
      <c r="B49" s="170">
        <f t="shared" si="0"/>
        <v>39</v>
      </c>
      <c r="C49" s="171"/>
      <c r="J49" s="176"/>
      <c r="K49" s="177"/>
    </row>
    <row r="50" spans="2:11" ht="12.75">
      <c r="B50" s="170">
        <f t="shared" si="0"/>
        <v>40</v>
      </c>
      <c r="C50" s="171"/>
      <c r="J50" s="176"/>
      <c r="K50" s="177"/>
    </row>
    <row r="51" spans="2:11" ht="12.75">
      <c r="B51" s="170">
        <f t="shared" si="0"/>
        <v>41</v>
      </c>
      <c r="C51" s="171"/>
      <c r="J51" s="176"/>
      <c r="K51" s="177"/>
    </row>
    <row r="52" spans="2:11" ht="12.75">
      <c r="B52" s="170">
        <f t="shared" si="0"/>
        <v>42</v>
      </c>
      <c r="C52" s="171"/>
      <c r="J52" s="176"/>
      <c r="K52" s="177"/>
    </row>
    <row r="53" spans="2:11" ht="12.75">
      <c r="B53" s="170">
        <f t="shared" si="0"/>
        <v>43</v>
      </c>
      <c r="C53" s="171"/>
      <c r="J53" s="176"/>
      <c r="K53" s="177"/>
    </row>
    <row r="54" spans="2:11" ht="12.75">
      <c r="B54" s="170">
        <f t="shared" si="0"/>
        <v>44</v>
      </c>
      <c r="C54" s="171"/>
      <c r="J54" s="176"/>
      <c r="K54" s="177"/>
    </row>
    <row r="55" spans="2:11" ht="12.75">
      <c r="B55" s="170">
        <f t="shared" si="0"/>
        <v>45</v>
      </c>
      <c r="C55" s="171"/>
      <c r="J55" s="176"/>
      <c r="K55" s="177"/>
    </row>
    <row r="56" spans="2:11" ht="12.75">
      <c r="B56" s="170">
        <f t="shared" si="0"/>
        <v>46</v>
      </c>
      <c r="C56" s="171"/>
      <c r="J56" s="176"/>
      <c r="K56" s="177"/>
    </row>
    <row r="57" spans="2:11" ht="12.75">
      <c r="B57" s="170">
        <f t="shared" si="0"/>
        <v>47</v>
      </c>
      <c r="C57" s="171"/>
      <c r="J57" s="176"/>
      <c r="K57" s="177"/>
    </row>
    <row r="58" spans="2:11" ht="12.75">
      <c r="B58" s="170">
        <f t="shared" si="0"/>
        <v>48</v>
      </c>
      <c r="C58" s="171"/>
      <c r="J58" s="176"/>
      <c r="K58" s="177"/>
    </row>
    <row r="59" spans="2:11" ht="12.75">
      <c r="B59" s="170">
        <f t="shared" si="0"/>
        <v>49</v>
      </c>
      <c r="C59" s="171"/>
      <c r="J59" s="176"/>
      <c r="K59" s="177"/>
    </row>
    <row r="60" spans="2:11" ht="12.75">
      <c r="B60" s="170">
        <f t="shared" si="0"/>
        <v>50</v>
      </c>
      <c r="C60" s="171"/>
      <c r="J60" s="176"/>
      <c r="K60" s="177"/>
    </row>
    <row r="61" spans="2:11" ht="12.75">
      <c r="B61" s="170">
        <f t="shared" si="0"/>
        <v>51</v>
      </c>
      <c r="C61" s="171"/>
      <c r="J61" s="176"/>
      <c r="K61" s="177"/>
    </row>
    <row r="62" spans="2:11" ht="12.75">
      <c r="B62" s="170">
        <f t="shared" si="0"/>
        <v>52</v>
      </c>
      <c r="C62" s="171"/>
      <c r="J62" s="176"/>
      <c r="K62" s="177"/>
    </row>
    <row r="63" spans="2:11" ht="12.75">
      <c r="B63" s="170">
        <f t="shared" si="0"/>
        <v>53</v>
      </c>
      <c r="C63" s="171"/>
      <c r="J63" s="176"/>
      <c r="K63" s="177"/>
    </row>
    <row r="64" spans="2:11" ht="12.75">
      <c r="B64" s="170">
        <f t="shared" si="0"/>
        <v>54</v>
      </c>
      <c r="C64" s="171"/>
      <c r="J64" s="176"/>
      <c r="K64" s="177"/>
    </row>
    <row r="65" spans="2:11" ht="12.75">
      <c r="B65" s="170">
        <f t="shared" si="0"/>
        <v>55</v>
      </c>
      <c r="C65" s="171"/>
      <c r="J65" s="176"/>
      <c r="K65" s="177"/>
    </row>
    <row r="66" spans="2:11" ht="12.75">
      <c r="B66" s="170">
        <f t="shared" si="0"/>
        <v>56</v>
      </c>
      <c r="C66" s="171"/>
      <c r="J66" s="176"/>
      <c r="K66" s="177"/>
    </row>
    <row r="67" spans="2:11" ht="12.75">
      <c r="B67" s="170">
        <f t="shared" si="0"/>
        <v>57</v>
      </c>
      <c r="C67" s="171"/>
      <c r="J67" s="176"/>
      <c r="K67" s="177"/>
    </row>
    <row r="68" spans="2:11" ht="12.75">
      <c r="B68" s="170">
        <f t="shared" si="0"/>
        <v>58</v>
      </c>
      <c r="C68" s="171"/>
      <c r="J68" s="176"/>
      <c r="K68" s="177"/>
    </row>
    <row r="69" spans="2:11" ht="12.75">
      <c r="B69" s="170">
        <f t="shared" si="0"/>
        <v>59</v>
      </c>
      <c r="C69" s="171"/>
      <c r="J69" s="176"/>
      <c r="K69" s="177"/>
    </row>
    <row r="70" spans="2:11" ht="12.75">
      <c r="B70" s="170">
        <f t="shared" si="0"/>
        <v>60</v>
      </c>
      <c r="C70" s="171"/>
      <c r="J70" s="176"/>
      <c r="K70" s="177"/>
    </row>
    <row r="71" spans="2:11" ht="12.75">
      <c r="B71" s="170">
        <f t="shared" si="0"/>
        <v>61</v>
      </c>
      <c r="C71" s="171"/>
      <c r="J71" s="176"/>
      <c r="K71" s="177"/>
    </row>
    <row r="72" spans="2:11" ht="12.75">
      <c r="B72" s="170">
        <f t="shared" si="0"/>
        <v>62</v>
      </c>
      <c r="C72" s="171"/>
      <c r="J72" s="176"/>
      <c r="K72" s="177"/>
    </row>
    <row r="73" spans="2:11" ht="12.75">
      <c r="B73" s="170">
        <f t="shared" si="0"/>
        <v>63</v>
      </c>
      <c r="C73" s="171"/>
      <c r="J73" s="176"/>
      <c r="K73" s="177"/>
    </row>
    <row r="74" spans="2:11" ht="12.75">
      <c r="B74" s="170">
        <f t="shared" si="0"/>
        <v>64</v>
      </c>
      <c r="C74" s="171"/>
      <c r="J74" s="176"/>
      <c r="K74" s="177"/>
    </row>
    <row r="75" spans="2:11" ht="12.75">
      <c r="B75" s="170">
        <f t="shared" si="0"/>
        <v>65</v>
      </c>
      <c r="C75" s="171"/>
      <c r="J75" s="176"/>
      <c r="K75" s="177"/>
    </row>
    <row r="76" spans="2:11" ht="12.75">
      <c r="B76" s="170">
        <f aca="true" t="shared" si="1" ref="B76:B89">+B75+1</f>
        <v>66</v>
      </c>
      <c r="C76" s="171"/>
      <c r="J76" s="176"/>
      <c r="K76" s="177"/>
    </row>
    <row r="77" spans="2:11" ht="12.75">
      <c r="B77" s="170">
        <f t="shared" si="1"/>
        <v>67</v>
      </c>
      <c r="C77" s="171"/>
      <c r="J77" s="176"/>
      <c r="K77" s="177"/>
    </row>
    <row r="78" spans="2:11" ht="12.75">
      <c r="B78" s="170">
        <f t="shared" si="1"/>
        <v>68</v>
      </c>
      <c r="C78" s="171"/>
      <c r="J78" s="176"/>
      <c r="K78" s="177"/>
    </row>
    <row r="79" spans="2:11" ht="12.75">
      <c r="B79" s="170">
        <f t="shared" si="1"/>
        <v>69</v>
      </c>
      <c r="C79" s="171"/>
      <c r="J79" s="176"/>
      <c r="K79" s="177"/>
    </row>
    <row r="80" spans="2:11" ht="12.75">
      <c r="B80" s="170">
        <f t="shared" si="1"/>
        <v>70</v>
      </c>
      <c r="C80" s="171"/>
      <c r="J80" s="176"/>
      <c r="K80" s="177"/>
    </row>
    <row r="81" spans="2:11" ht="12.75">
      <c r="B81" s="170">
        <f t="shared" si="1"/>
        <v>71</v>
      </c>
      <c r="C81" s="171"/>
      <c r="J81" s="176"/>
      <c r="K81" s="177"/>
    </row>
    <row r="82" spans="2:11" ht="12.75">
      <c r="B82" s="170">
        <f t="shared" si="1"/>
        <v>72</v>
      </c>
      <c r="C82" s="171"/>
      <c r="J82" s="176"/>
      <c r="K82" s="177"/>
    </row>
    <row r="83" spans="2:11" ht="12.75">
      <c r="B83" s="170">
        <f t="shared" si="1"/>
        <v>73</v>
      </c>
      <c r="C83" s="171"/>
      <c r="J83" s="176"/>
      <c r="K83" s="177"/>
    </row>
    <row r="84" spans="2:11" ht="12.75">
      <c r="B84" s="170">
        <f t="shared" si="1"/>
        <v>74</v>
      </c>
      <c r="C84" s="171"/>
      <c r="J84" s="176"/>
      <c r="K84" s="177"/>
    </row>
    <row r="85" spans="2:11" ht="12.75">
      <c r="B85" s="170">
        <f t="shared" si="1"/>
        <v>75</v>
      </c>
      <c r="C85" s="171"/>
      <c r="J85" s="176"/>
      <c r="K85" s="177"/>
    </row>
    <row r="86" spans="2:11" ht="12.75">
      <c r="B86" s="170">
        <f t="shared" si="1"/>
        <v>76</v>
      </c>
      <c r="C86" s="171"/>
      <c r="J86" s="176"/>
      <c r="K86" s="177"/>
    </row>
    <row r="87" spans="2:11" ht="12.75">
      <c r="B87" s="170">
        <f t="shared" si="1"/>
        <v>77</v>
      </c>
      <c r="C87" s="171"/>
      <c r="J87" s="176"/>
      <c r="K87" s="177"/>
    </row>
    <row r="88" spans="2:11" ht="12.75">
      <c r="B88" s="170">
        <f t="shared" si="1"/>
        <v>78</v>
      </c>
      <c r="C88" s="171"/>
      <c r="J88" s="176"/>
      <c r="K88" s="177"/>
    </row>
    <row r="89" spans="2:11" ht="12.75">
      <c r="B89" s="170">
        <f t="shared" si="1"/>
        <v>79</v>
      </c>
      <c r="C89" s="171"/>
      <c r="J89" s="176"/>
      <c r="K89" s="177"/>
    </row>
    <row r="90" spans="2:3" ht="12.75">
      <c r="B90" s="59"/>
      <c r="C90" s="59"/>
    </row>
    <row r="92" spans="2:7" ht="20.25">
      <c r="B92" s="60" t="s">
        <v>238</v>
      </c>
      <c r="C92" s="44"/>
      <c r="D92" s="44"/>
      <c r="E92" s="44"/>
      <c r="F92" s="44"/>
      <c r="G92" s="44"/>
    </row>
    <row r="93" spans="2:12" s="59" customFormat="1" ht="12.75">
      <c r="B93"/>
      <c r="C93"/>
      <c r="D93"/>
      <c r="E93" s="162"/>
      <c r="F93" s="162"/>
      <c r="G93" s="162"/>
      <c r="I93" s="178"/>
      <c r="J93" s="178"/>
      <c r="K93" s="178"/>
      <c r="L93" s="178"/>
    </row>
    <row r="94" spans="2:7" ht="15.75">
      <c r="B94" s="61" t="s">
        <v>87</v>
      </c>
      <c r="E94" s="162"/>
      <c r="F94" s="162"/>
      <c r="G94" s="162"/>
    </row>
    <row r="95" spans="5:7" ht="12.75">
      <c r="E95" s="162"/>
      <c r="F95" s="162"/>
      <c r="G95" s="162"/>
    </row>
    <row r="199" spans="3:7" ht="12.75">
      <c r="C199" s="104" t="s">
        <v>122</v>
      </c>
      <c r="D199" s="285" t="str">
        <f>CONCATENATE("[f] [REG] ",F207,F208,F209,F210,F211,F212,F213,F214,F215,F216,F217,F218,F219,F220,F221,F222,F223,F224,F225,F226,F227," [f] [IRR] Visor =&gt;",ROUND(G7*100,4))</f>
        <v>[f] [REG] 800 [CHS]  [g] [CF0] 600 [g] [CFj] 400 [g] [CFj] 200 [g] [CFj]  [f] [IRR] Visor =&gt;28,8584</v>
      </c>
      <c r="E199" s="285"/>
      <c r="F199" s="285"/>
      <c r="G199" s="285"/>
    </row>
    <row r="200" spans="3:7" ht="12.75">
      <c r="C200" s="105" t="s">
        <v>85</v>
      </c>
      <c r="D200" s="285"/>
      <c r="E200" s="285"/>
      <c r="F200" s="285"/>
      <c r="G200" s="285"/>
    </row>
    <row r="201" spans="3:7" ht="12.75">
      <c r="C201" s="104"/>
      <c r="D201" s="285"/>
      <c r="E201" s="285"/>
      <c r="F201" s="285"/>
      <c r="G201" s="285"/>
    </row>
    <row r="203" spans="3:7" ht="12.75">
      <c r="C203" s="104" t="s">
        <v>122</v>
      </c>
      <c r="D203" s="285" t="str">
        <f>CONCATENATE("[f] [REG] ",F207,F208,F209,F210,F211,F212,F213,F214,F215,F216,F217,F218,F219,F220,F221,F222,F223,F224,F225,F226,F227,ROUND(C6*100,4)," [i] [f] [NPV] Visor =&gt; ",ROUND(G6,4))</f>
        <v>[f] [REG] 800 [CHS]  [g] [CF0] 600 [g] [CFj] 400 [g] [CFj] 200 [g] [CFj] 1 [i] [f] [NPV] Visor =&gt; 380,2959</v>
      </c>
      <c r="E203" s="285"/>
      <c r="F203" s="285"/>
      <c r="G203" s="285"/>
    </row>
    <row r="204" spans="3:7" ht="12.75">
      <c r="C204" s="105" t="s">
        <v>84</v>
      </c>
      <c r="D204" s="285"/>
      <c r="E204" s="285"/>
      <c r="F204" s="285"/>
      <c r="G204" s="285"/>
    </row>
    <row r="205" spans="3:7" ht="12.75">
      <c r="C205" s="104"/>
      <c r="D205" s="285"/>
      <c r="E205" s="285"/>
      <c r="F205" s="285"/>
      <c r="G205" s="285"/>
    </row>
    <row r="207" spans="3:6" ht="12.75">
      <c r="C207" s="83">
        <f aca="true" t="shared" si="2" ref="C207:C227">IF(C10="","",ABS(C10))</f>
        <v>800</v>
      </c>
      <c r="D207" s="83" t="str">
        <f aca="true" t="shared" si="3" ref="D207:D227">IF(C10&lt;0," [CHS] ","")</f>
        <v> [CHS] </v>
      </c>
      <c r="E207" s="83" t="str">
        <f>IF(C207&lt;&gt;""," [g] [CF0] ","")</f>
        <v> [g] [CF0] </v>
      </c>
      <c r="F207" s="83" t="str">
        <f>CONCATENATE(C207,D207,E207)</f>
        <v>800 [CHS]  [g] [CF0] </v>
      </c>
    </row>
    <row r="208" spans="3:6" ht="12.75">
      <c r="C208" s="83">
        <f t="shared" si="2"/>
        <v>600</v>
      </c>
      <c r="D208" s="83">
        <f t="shared" si="3"/>
      </c>
      <c r="E208" s="83" t="str">
        <f>IF(C208&lt;&gt;""," [g] [CFj] ","")</f>
        <v> [g] [CFj] </v>
      </c>
      <c r="F208" s="83" t="str">
        <f aca="true" t="shared" si="4" ref="F208:F226">CONCATENATE(C208,D208,E208)</f>
        <v>600 [g] [CFj] </v>
      </c>
    </row>
    <row r="209" spans="3:6" ht="12.75">
      <c r="C209" s="83">
        <f t="shared" si="2"/>
        <v>400</v>
      </c>
      <c r="D209" s="83">
        <f t="shared" si="3"/>
      </c>
      <c r="E209" s="83" t="str">
        <f aca="true" t="shared" si="5" ref="E209:E227">IF(C209&lt;&gt;""," [g] [CFj] ","")</f>
        <v> [g] [CFj] </v>
      </c>
      <c r="F209" s="83" t="str">
        <f t="shared" si="4"/>
        <v>400 [g] [CFj] </v>
      </c>
    </row>
    <row r="210" spans="3:6" ht="12.75">
      <c r="C210" s="83">
        <f t="shared" si="2"/>
        <v>200</v>
      </c>
      <c r="D210" s="83">
        <f t="shared" si="3"/>
      </c>
      <c r="E210" s="83" t="str">
        <f t="shared" si="5"/>
        <v> [g] [CFj] </v>
      </c>
      <c r="F210" s="83" t="str">
        <f t="shared" si="4"/>
        <v>200 [g] [CFj] </v>
      </c>
    </row>
    <row r="211" spans="3:6" ht="12.75">
      <c r="C211" s="83">
        <f t="shared" si="2"/>
      </c>
      <c r="D211" s="83">
        <f t="shared" si="3"/>
      </c>
      <c r="E211" s="83">
        <f t="shared" si="5"/>
      </c>
      <c r="F211" s="83">
        <f t="shared" si="4"/>
      </c>
    </row>
    <row r="212" spans="3:6" ht="12.75">
      <c r="C212" s="83">
        <f t="shared" si="2"/>
      </c>
      <c r="D212" s="83">
        <f t="shared" si="3"/>
      </c>
      <c r="E212" s="83">
        <f t="shared" si="5"/>
      </c>
      <c r="F212" s="83">
        <f t="shared" si="4"/>
      </c>
    </row>
    <row r="213" spans="3:6" ht="12.75">
      <c r="C213" s="83">
        <f t="shared" si="2"/>
      </c>
      <c r="D213" s="83">
        <f t="shared" si="3"/>
      </c>
      <c r="E213" s="83">
        <f t="shared" si="5"/>
      </c>
      <c r="F213" s="83">
        <f t="shared" si="4"/>
      </c>
    </row>
    <row r="214" spans="3:6" ht="12.75">
      <c r="C214" s="83">
        <f t="shared" si="2"/>
      </c>
      <c r="D214" s="83">
        <f t="shared" si="3"/>
      </c>
      <c r="E214" s="83">
        <f t="shared" si="5"/>
      </c>
      <c r="F214" s="83">
        <f t="shared" si="4"/>
      </c>
    </row>
    <row r="215" spans="3:6" ht="12.75">
      <c r="C215" s="83">
        <f t="shared" si="2"/>
      </c>
      <c r="D215" s="83">
        <f t="shared" si="3"/>
      </c>
      <c r="E215" s="83">
        <f t="shared" si="5"/>
      </c>
      <c r="F215" s="83">
        <f t="shared" si="4"/>
      </c>
    </row>
    <row r="216" spans="3:6" ht="12.75">
      <c r="C216" s="83">
        <f t="shared" si="2"/>
      </c>
      <c r="D216" s="83">
        <f t="shared" si="3"/>
      </c>
      <c r="E216" s="83">
        <f t="shared" si="5"/>
      </c>
      <c r="F216" s="83">
        <f t="shared" si="4"/>
      </c>
    </row>
    <row r="217" spans="3:6" ht="12.75">
      <c r="C217" s="83">
        <f t="shared" si="2"/>
      </c>
      <c r="D217" s="83">
        <f t="shared" si="3"/>
      </c>
      <c r="E217" s="83">
        <f t="shared" si="5"/>
      </c>
      <c r="F217" s="83">
        <f t="shared" si="4"/>
      </c>
    </row>
    <row r="218" spans="3:6" ht="12.75">
      <c r="C218" s="83">
        <f t="shared" si="2"/>
      </c>
      <c r="D218" s="83">
        <f t="shared" si="3"/>
      </c>
      <c r="E218" s="83">
        <f t="shared" si="5"/>
      </c>
      <c r="F218" s="83">
        <f t="shared" si="4"/>
      </c>
    </row>
    <row r="219" spans="3:6" ht="12.75">
      <c r="C219" s="83">
        <f t="shared" si="2"/>
      </c>
      <c r="D219" s="83">
        <f t="shared" si="3"/>
      </c>
      <c r="E219" s="83">
        <f t="shared" si="5"/>
      </c>
      <c r="F219" s="83">
        <f t="shared" si="4"/>
      </c>
    </row>
    <row r="220" spans="3:6" ht="12.75">
      <c r="C220" s="83">
        <f t="shared" si="2"/>
      </c>
      <c r="D220" s="83">
        <f t="shared" si="3"/>
      </c>
      <c r="E220" s="83">
        <f t="shared" si="5"/>
      </c>
      <c r="F220" s="83">
        <f t="shared" si="4"/>
      </c>
    </row>
    <row r="221" spans="3:6" ht="12.75">
      <c r="C221" s="83">
        <f t="shared" si="2"/>
      </c>
      <c r="D221" s="83">
        <f t="shared" si="3"/>
      </c>
      <c r="E221" s="83">
        <f t="shared" si="5"/>
      </c>
      <c r="F221" s="83">
        <f t="shared" si="4"/>
      </c>
    </row>
    <row r="222" spans="3:6" ht="12.75">
      <c r="C222" s="83">
        <f t="shared" si="2"/>
      </c>
      <c r="D222" s="83">
        <f t="shared" si="3"/>
      </c>
      <c r="E222" s="83">
        <f t="shared" si="5"/>
      </c>
      <c r="F222" s="83">
        <f t="shared" si="4"/>
      </c>
    </row>
    <row r="223" spans="3:6" ht="12.75">
      <c r="C223" s="83">
        <f t="shared" si="2"/>
      </c>
      <c r="D223" s="83">
        <f t="shared" si="3"/>
      </c>
      <c r="E223" s="83">
        <f t="shared" si="5"/>
      </c>
      <c r="F223" s="83">
        <f t="shared" si="4"/>
      </c>
    </row>
    <row r="224" spans="3:6" ht="12.75">
      <c r="C224" s="83">
        <f t="shared" si="2"/>
      </c>
      <c r="D224" s="83">
        <f t="shared" si="3"/>
      </c>
      <c r="E224" s="83">
        <f t="shared" si="5"/>
      </c>
      <c r="F224" s="83">
        <f t="shared" si="4"/>
      </c>
    </row>
    <row r="225" spans="3:6" ht="12.75">
      <c r="C225" s="83">
        <f t="shared" si="2"/>
      </c>
      <c r="D225" s="83">
        <f t="shared" si="3"/>
      </c>
      <c r="E225" s="83">
        <f t="shared" si="5"/>
      </c>
      <c r="F225" s="83">
        <f t="shared" si="4"/>
      </c>
    </row>
    <row r="226" spans="3:6" ht="12.75">
      <c r="C226" s="83">
        <f t="shared" si="2"/>
      </c>
      <c r="D226" s="83">
        <f t="shared" si="3"/>
      </c>
      <c r="E226" s="83">
        <f t="shared" si="5"/>
      </c>
      <c r="F226" s="83">
        <f t="shared" si="4"/>
      </c>
    </row>
    <row r="227" spans="3:6" ht="12.75">
      <c r="C227" s="83">
        <f t="shared" si="2"/>
      </c>
      <c r="D227" s="83">
        <f t="shared" si="3"/>
      </c>
      <c r="E227" s="83">
        <f t="shared" si="5"/>
      </c>
      <c r="F227" s="83"/>
    </row>
  </sheetData>
  <mergeCells count="11">
    <mergeCell ref="AB28:AG28"/>
    <mergeCell ref="B4:G4"/>
    <mergeCell ref="B2:G2"/>
    <mergeCell ref="AB4:AG4"/>
    <mergeCell ref="AB17:AG17"/>
    <mergeCell ref="D203:G205"/>
    <mergeCell ref="F9:G9"/>
    <mergeCell ref="F10:G15"/>
    <mergeCell ref="D199:G201"/>
    <mergeCell ref="F17:G17"/>
    <mergeCell ref="F18:G23"/>
  </mergeCells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11"/>
  <dimension ref="B2:I95"/>
  <sheetViews>
    <sheetView workbookViewId="0" topLeftCell="A4">
      <selection activeCell="B4" sqref="B4:G4"/>
    </sheetView>
  </sheetViews>
  <sheetFormatPr defaultColWidth="9.140625" defaultRowHeight="12.75"/>
  <cols>
    <col min="2" max="2" width="12.28125" style="0" customWidth="1"/>
    <col min="3" max="3" width="14.140625" style="0" customWidth="1"/>
    <col min="4" max="7" width="12.28125" style="0" customWidth="1"/>
    <col min="9" max="9" width="9.8515625" style="0" bestFit="1" customWidth="1"/>
  </cols>
  <sheetData>
    <row r="1" ht="13.5" thickBot="1"/>
    <row r="2" spans="2:7" s="49" customFormat="1" ht="28.5" thickBot="1">
      <c r="B2" s="282" t="s">
        <v>60</v>
      </c>
      <c r="C2" s="283"/>
      <c r="D2" s="283"/>
      <c r="E2" s="283"/>
      <c r="F2" s="283"/>
      <c r="G2" s="284"/>
    </row>
    <row r="3" ht="13.5" thickBot="1"/>
    <row r="4" spans="2:7" s="43" customFormat="1" ht="21" thickBot="1">
      <c r="B4" s="279" t="s">
        <v>93</v>
      </c>
      <c r="C4" s="280"/>
      <c r="D4" s="280"/>
      <c r="E4" s="280"/>
      <c r="F4" s="280"/>
      <c r="G4" s="281"/>
    </row>
    <row r="5" spans="7:9" ht="13.5" thickBot="1">
      <c r="G5" s="71"/>
      <c r="I5" s="70"/>
    </row>
    <row r="6" spans="2:8" ht="13.5" thickBot="1">
      <c r="B6" s="64" t="s">
        <v>86</v>
      </c>
      <c r="C6" s="179"/>
      <c r="F6" s="28" t="s">
        <v>96</v>
      </c>
      <c r="G6" s="65">
        <f>SUM(D10:D89)</f>
        <v>0</v>
      </c>
      <c r="H6" s="70"/>
    </row>
    <row r="7" spans="6:7" ht="13.5" thickBot="1">
      <c r="F7" s="34"/>
      <c r="G7" s="66"/>
    </row>
    <row r="8" spans="2:7" ht="12.75">
      <c r="B8" s="46" t="s">
        <v>61</v>
      </c>
      <c r="C8" s="46" t="s">
        <v>82</v>
      </c>
      <c r="D8" s="46" t="s">
        <v>82</v>
      </c>
      <c r="F8" s="162"/>
      <c r="G8" s="162"/>
    </row>
    <row r="9" spans="2:7" ht="12.75">
      <c r="B9" s="47" t="s">
        <v>0</v>
      </c>
      <c r="C9" s="47" t="s">
        <v>94</v>
      </c>
      <c r="D9" s="47" t="s">
        <v>95</v>
      </c>
      <c r="F9" s="162"/>
      <c r="G9" s="162"/>
    </row>
    <row r="10" spans="2:7" ht="12.75">
      <c r="B10" s="180"/>
      <c r="C10" s="171"/>
      <c r="D10" s="181">
        <f>C10/((1+k_desgual)^B10)</f>
        <v>0</v>
      </c>
      <c r="F10" s="162"/>
      <c r="G10" s="162"/>
    </row>
    <row r="11" spans="2:7" ht="12.75">
      <c r="B11" s="180"/>
      <c r="C11" s="171"/>
      <c r="D11" s="181">
        <f aca="true" t="shared" si="0" ref="D11:D74">C11/((1+k_desgual)^B11)</f>
        <v>0</v>
      </c>
      <c r="F11" s="162"/>
      <c r="G11" s="162"/>
    </row>
    <row r="12" spans="2:7" ht="12.75">
      <c r="B12" s="180"/>
      <c r="C12" s="171"/>
      <c r="D12" s="181">
        <f t="shared" si="0"/>
        <v>0</v>
      </c>
      <c r="F12" s="162"/>
      <c r="G12" s="162"/>
    </row>
    <row r="13" spans="2:7" ht="12.75">
      <c r="B13" s="180"/>
      <c r="C13" s="171"/>
      <c r="D13" s="181">
        <f t="shared" si="0"/>
        <v>0</v>
      </c>
      <c r="F13" s="162"/>
      <c r="G13" s="162"/>
    </row>
    <row r="14" spans="2:7" ht="12.75">
      <c r="B14" s="180"/>
      <c r="C14" s="171"/>
      <c r="D14" s="181">
        <f t="shared" si="0"/>
        <v>0</v>
      </c>
      <c r="F14" s="162"/>
      <c r="G14" s="162"/>
    </row>
    <row r="15" spans="2:7" ht="12.75">
      <c r="B15" s="180"/>
      <c r="C15" s="171"/>
      <c r="D15" s="181">
        <f t="shared" si="0"/>
        <v>0</v>
      </c>
      <c r="F15" s="162"/>
      <c r="G15" s="162"/>
    </row>
    <row r="16" spans="2:6" ht="12.75">
      <c r="B16" s="180"/>
      <c r="C16" s="171"/>
      <c r="D16" s="181">
        <f t="shared" si="0"/>
        <v>0</v>
      </c>
      <c r="F16" s="71"/>
    </row>
    <row r="17" spans="2:6" ht="12.75">
      <c r="B17" s="180"/>
      <c r="C17" s="171"/>
      <c r="D17" s="181">
        <f t="shared" si="0"/>
        <v>0</v>
      </c>
      <c r="F17" s="71"/>
    </row>
    <row r="18" spans="2:6" ht="12.75">
      <c r="B18" s="180"/>
      <c r="C18" s="171"/>
      <c r="D18" s="181">
        <f t="shared" si="0"/>
        <v>0</v>
      </c>
      <c r="F18" s="70"/>
    </row>
    <row r="19" spans="2:4" ht="12.75">
      <c r="B19" s="180"/>
      <c r="C19" s="171"/>
      <c r="D19" s="181">
        <f t="shared" si="0"/>
        <v>0</v>
      </c>
    </row>
    <row r="20" spans="2:4" ht="12.75">
      <c r="B20" s="180"/>
      <c r="C20" s="171"/>
      <c r="D20" s="181">
        <f t="shared" si="0"/>
        <v>0</v>
      </c>
    </row>
    <row r="21" spans="2:4" ht="12.75">
      <c r="B21" s="180"/>
      <c r="C21" s="171"/>
      <c r="D21" s="181">
        <f t="shared" si="0"/>
        <v>0</v>
      </c>
    </row>
    <row r="22" spans="2:4" ht="12.75">
      <c r="B22" s="180"/>
      <c r="C22" s="171"/>
      <c r="D22" s="181">
        <f t="shared" si="0"/>
        <v>0</v>
      </c>
    </row>
    <row r="23" spans="2:4" ht="12.75">
      <c r="B23" s="180"/>
      <c r="C23" s="171"/>
      <c r="D23" s="181">
        <f t="shared" si="0"/>
        <v>0</v>
      </c>
    </row>
    <row r="24" spans="2:4" ht="12.75">
      <c r="B24" s="180"/>
      <c r="C24" s="171"/>
      <c r="D24" s="181">
        <f t="shared" si="0"/>
        <v>0</v>
      </c>
    </row>
    <row r="25" spans="2:4" ht="12.75">
      <c r="B25" s="180"/>
      <c r="C25" s="171"/>
      <c r="D25" s="181">
        <f t="shared" si="0"/>
        <v>0</v>
      </c>
    </row>
    <row r="26" spans="2:4" ht="12.75">
      <c r="B26" s="180"/>
      <c r="C26" s="171"/>
      <c r="D26" s="181">
        <f t="shared" si="0"/>
        <v>0</v>
      </c>
    </row>
    <row r="27" spans="2:4" ht="12.75">
      <c r="B27" s="180"/>
      <c r="C27" s="171"/>
      <c r="D27" s="181">
        <f t="shared" si="0"/>
        <v>0</v>
      </c>
    </row>
    <row r="28" spans="2:4" ht="12.75">
      <c r="B28" s="180"/>
      <c r="C28" s="171"/>
      <c r="D28" s="181">
        <f t="shared" si="0"/>
        <v>0</v>
      </c>
    </row>
    <row r="29" spans="2:4" ht="12.75">
      <c r="B29" s="180"/>
      <c r="C29" s="171"/>
      <c r="D29" s="181">
        <f t="shared" si="0"/>
        <v>0</v>
      </c>
    </row>
    <row r="30" spans="2:4" ht="12.75">
      <c r="B30" s="180"/>
      <c r="C30" s="171"/>
      <c r="D30" s="181">
        <f t="shared" si="0"/>
        <v>0</v>
      </c>
    </row>
    <row r="31" spans="2:4" ht="12.75">
      <c r="B31" s="180"/>
      <c r="C31" s="171"/>
      <c r="D31" s="181">
        <f t="shared" si="0"/>
        <v>0</v>
      </c>
    </row>
    <row r="32" spans="2:4" ht="12.75">
      <c r="B32" s="180"/>
      <c r="C32" s="171"/>
      <c r="D32" s="181">
        <f t="shared" si="0"/>
        <v>0</v>
      </c>
    </row>
    <row r="33" spans="2:4" ht="12.75">
      <c r="B33" s="180"/>
      <c r="C33" s="171"/>
      <c r="D33" s="181">
        <f t="shared" si="0"/>
        <v>0</v>
      </c>
    </row>
    <row r="34" spans="2:4" ht="12.75">
      <c r="B34" s="180"/>
      <c r="C34" s="171"/>
      <c r="D34" s="181">
        <f t="shared" si="0"/>
        <v>0</v>
      </c>
    </row>
    <row r="35" spans="2:4" ht="12.75">
      <c r="B35" s="180"/>
      <c r="C35" s="171"/>
      <c r="D35" s="181">
        <f t="shared" si="0"/>
        <v>0</v>
      </c>
    </row>
    <row r="36" spans="2:4" ht="12.75">
      <c r="B36" s="180"/>
      <c r="C36" s="171"/>
      <c r="D36" s="181">
        <f t="shared" si="0"/>
        <v>0</v>
      </c>
    </row>
    <row r="37" spans="2:4" ht="12.75">
      <c r="B37" s="180"/>
      <c r="C37" s="171"/>
      <c r="D37" s="181">
        <f t="shared" si="0"/>
        <v>0</v>
      </c>
    </row>
    <row r="38" spans="2:4" ht="12.75">
      <c r="B38" s="180"/>
      <c r="C38" s="171"/>
      <c r="D38" s="181">
        <f t="shared" si="0"/>
        <v>0</v>
      </c>
    </row>
    <row r="39" spans="2:4" ht="12.75">
      <c r="B39" s="180"/>
      <c r="C39" s="171"/>
      <c r="D39" s="181">
        <f t="shared" si="0"/>
        <v>0</v>
      </c>
    </row>
    <row r="40" spans="2:4" ht="12.75">
      <c r="B40" s="180"/>
      <c r="C40" s="171"/>
      <c r="D40" s="181">
        <f t="shared" si="0"/>
        <v>0</v>
      </c>
    </row>
    <row r="41" spans="2:4" ht="12.75">
      <c r="B41" s="180"/>
      <c r="C41" s="171"/>
      <c r="D41" s="181">
        <f t="shared" si="0"/>
        <v>0</v>
      </c>
    </row>
    <row r="42" spans="2:4" ht="12.75">
      <c r="B42" s="180"/>
      <c r="C42" s="171"/>
      <c r="D42" s="181">
        <f t="shared" si="0"/>
        <v>0</v>
      </c>
    </row>
    <row r="43" spans="2:4" ht="12.75">
      <c r="B43" s="180"/>
      <c r="C43" s="171"/>
      <c r="D43" s="181">
        <f t="shared" si="0"/>
        <v>0</v>
      </c>
    </row>
    <row r="44" spans="2:4" ht="12.75">
      <c r="B44" s="180"/>
      <c r="C44" s="171"/>
      <c r="D44" s="181">
        <f t="shared" si="0"/>
        <v>0</v>
      </c>
    </row>
    <row r="45" spans="2:4" ht="12.75">
      <c r="B45" s="180"/>
      <c r="C45" s="171"/>
      <c r="D45" s="181">
        <f t="shared" si="0"/>
        <v>0</v>
      </c>
    </row>
    <row r="46" spans="2:4" ht="12.75">
      <c r="B46" s="180"/>
      <c r="C46" s="171"/>
      <c r="D46" s="181">
        <f t="shared" si="0"/>
        <v>0</v>
      </c>
    </row>
    <row r="47" spans="2:4" ht="12.75">
      <c r="B47" s="180"/>
      <c r="C47" s="171"/>
      <c r="D47" s="181">
        <f t="shared" si="0"/>
        <v>0</v>
      </c>
    </row>
    <row r="48" spans="2:4" ht="12.75">
      <c r="B48" s="180"/>
      <c r="C48" s="171"/>
      <c r="D48" s="181">
        <f t="shared" si="0"/>
        <v>0</v>
      </c>
    </row>
    <row r="49" spans="2:4" ht="12.75">
      <c r="B49" s="180"/>
      <c r="C49" s="171"/>
      <c r="D49" s="181">
        <f t="shared" si="0"/>
        <v>0</v>
      </c>
    </row>
    <row r="50" spans="2:4" ht="12.75">
      <c r="B50" s="180"/>
      <c r="C50" s="171"/>
      <c r="D50" s="181">
        <f t="shared" si="0"/>
        <v>0</v>
      </c>
    </row>
    <row r="51" spans="2:4" ht="12.75">
      <c r="B51" s="180"/>
      <c r="C51" s="171"/>
      <c r="D51" s="181">
        <f t="shared" si="0"/>
        <v>0</v>
      </c>
    </row>
    <row r="52" spans="2:4" ht="12.75">
      <c r="B52" s="180"/>
      <c r="C52" s="171"/>
      <c r="D52" s="181">
        <f t="shared" si="0"/>
        <v>0</v>
      </c>
    </row>
    <row r="53" spans="2:4" ht="12.75">
      <c r="B53" s="180"/>
      <c r="C53" s="171"/>
      <c r="D53" s="181">
        <f t="shared" si="0"/>
        <v>0</v>
      </c>
    </row>
    <row r="54" spans="2:4" ht="12.75">
      <c r="B54" s="180"/>
      <c r="C54" s="171"/>
      <c r="D54" s="181">
        <f t="shared" si="0"/>
        <v>0</v>
      </c>
    </row>
    <row r="55" spans="2:4" ht="12.75">
      <c r="B55" s="180"/>
      <c r="C55" s="171"/>
      <c r="D55" s="181">
        <f t="shared" si="0"/>
        <v>0</v>
      </c>
    </row>
    <row r="56" spans="2:4" ht="12.75">
      <c r="B56" s="180"/>
      <c r="C56" s="171"/>
      <c r="D56" s="181">
        <f t="shared" si="0"/>
        <v>0</v>
      </c>
    </row>
    <row r="57" spans="2:4" ht="12.75">
      <c r="B57" s="180"/>
      <c r="C57" s="171"/>
      <c r="D57" s="181">
        <f t="shared" si="0"/>
        <v>0</v>
      </c>
    </row>
    <row r="58" spans="2:4" ht="12.75">
      <c r="B58" s="180"/>
      <c r="C58" s="171"/>
      <c r="D58" s="181">
        <f t="shared" si="0"/>
        <v>0</v>
      </c>
    </row>
    <row r="59" spans="2:4" ht="12.75">
      <c r="B59" s="180"/>
      <c r="C59" s="171"/>
      <c r="D59" s="181">
        <f t="shared" si="0"/>
        <v>0</v>
      </c>
    </row>
    <row r="60" spans="2:4" ht="12.75">
      <c r="B60" s="180"/>
      <c r="C60" s="171"/>
      <c r="D60" s="181">
        <f t="shared" si="0"/>
        <v>0</v>
      </c>
    </row>
    <row r="61" spans="2:4" ht="12.75">
      <c r="B61" s="180"/>
      <c r="C61" s="171"/>
      <c r="D61" s="181">
        <f t="shared" si="0"/>
        <v>0</v>
      </c>
    </row>
    <row r="62" spans="2:4" ht="12.75">
      <c r="B62" s="180"/>
      <c r="C62" s="171"/>
      <c r="D62" s="181">
        <f t="shared" si="0"/>
        <v>0</v>
      </c>
    </row>
    <row r="63" spans="2:4" ht="12.75">
      <c r="B63" s="180"/>
      <c r="C63" s="171"/>
      <c r="D63" s="181">
        <f t="shared" si="0"/>
        <v>0</v>
      </c>
    </row>
    <row r="64" spans="2:4" ht="12.75">
      <c r="B64" s="180"/>
      <c r="C64" s="171"/>
      <c r="D64" s="181">
        <f t="shared" si="0"/>
        <v>0</v>
      </c>
    </row>
    <row r="65" spans="2:4" ht="12.75">
      <c r="B65" s="180"/>
      <c r="C65" s="171"/>
      <c r="D65" s="181">
        <f t="shared" si="0"/>
        <v>0</v>
      </c>
    </row>
    <row r="66" spans="2:4" ht="12.75">
      <c r="B66" s="180"/>
      <c r="C66" s="171"/>
      <c r="D66" s="181">
        <f t="shared" si="0"/>
        <v>0</v>
      </c>
    </row>
    <row r="67" spans="2:4" ht="12.75">
      <c r="B67" s="180"/>
      <c r="C67" s="171"/>
      <c r="D67" s="181">
        <f t="shared" si="0"/>
        <v>0</v>
      </c>
    </row>
    <row r="68" spans="2:4" ht="12.75">
      <c r="B68" s="180"/>
      <c r="C68" s="171"/>
      <c r="D68" s="181">
        <f t="shared" si="0"/>
        <v>0</v>
      </c>
    </row>
    <row r="69" spans="2:4" ht="12.75">
      <c r="B69" s="180"/>
      <c r="C69" s="171"/>
      <c r="D69" s="181">
        <f t="shared" si="0"/>
        <v>0</v>
      </c>
    </row>
    <row r="70" spans="2:4" ht="12.75">
      <c r="B70" s="180"/>
      <c r="C70" s="171"/>
      <c r="D70" s="181">
        <f t="shared" si="0"/>
        <v>0</v>
      </c>
    </row>
    <row r="71" spans="2:4" ht="12.75">
      <c r="B71" s="180"/>
      <c r="C71" s="171"/>
      <c r="D71" s="181">
        <f t="shared" si="0"/>
        <v>0</v>
      </c>
    </row>
    <row r="72" spans="2:4" ht="12.75">
      <c r="B72" s="180"/>
      <c r="C72" s="171"/>
      <c r="D72" s="181">
        <f t="shared" si="0"/>
        <v>0</v>
      </c>
    </row>
    <row r="73" spans="2:4" ht="12.75">
      <c r="B73" s="180"/>
      <c r="C73" s="171"/>
      <c r="D73" s="181">
        <f t="shared" si="0"/>
        <v>0</v>
      </c>
    </row>
    <row r="74" spans="2:4" ht="12.75">
      <c r="B74" s="180"/>
      <c r="C74" s="171"/>
      <c r="D74" s="181">
        <f t="shared" si="0"/>
        <v>0</v>
      </c>
    </row>
    <row r="75" spans="2:4" ht="12.75">
      <c r="B75" s="180"/>
      <c r="C75" s="171"/>
      <c r="D75" s="181">
        <f aca="true" t="shared" si="1" ref="D75:D89">C75/((1+k_desgual)^B75)</f>
        <v>0</v>
      </c>
    </row>
    <row r="76" spans="2:4" ht="12.75">
      <c r="B76" s="180"/>
      <c r="C76" s="171"/>
      <c r="D76" s="181">
        <f t="shared" si="1"/>
        <v>0</v>
      </c>
    </row>
    <row r="77" spans="2:4" ht="12.75">
      <c r="B77" s="180"/>
      <c r="C77" s="171"/>
      <c r="D77" s="181">
        <f t="shared" si="1"/>
        <v>0</v>
      </c>
    </row>
    <row r="78" spans="2:4" ht="12.75">
      <c r="B78" s="180"/>
      <c r="C78" s="171"/>
      <c r="D78" s="181">
        <f t="shared" si="1"/>
        <v>0</v>
      </c>
    </row>
    <row r="79" spans="2:4" ht="12.75">
      <c r="B79" s="180"/>
      <c r="C79" s="171"/>
      <c r="D79" s="181">
        <f t="shared" si="1"/>
        <v>0</v>
      </c>
    </row>
    <row r="80" spans="2:4" ht="12.75">
      <c r="B80" s="180"/>
      <c r="C80" s="171"/>
      <c r="D80" s="181">
        <f t="shared" si="1"/>
        <v>0</v>
      </c>
    </row>
    <row r="81" spans="2:4" ht="12.75">
      <c r="B81" s="180"/>
      <c r="C81" s="171"/>
      <c r="D81" s="181">
        <f t="shared" si="1"/>
        <v>0</v>
      </c>
    </row>
    <row r="82" spans="2:4" ht="12.75">
      <c r="B82" s="180"/>
      <c r="C82" s="171"/>
      <c r="D82" s="181">
        <f t="shared" si="1"/>
        <v>0</v>
      </c>
    </row>
    <row r="83" spans="2:4" ht="12.75">
      <c r="B83" s="180"/>
      <c r="C83" s="171"/>
      <c r="D83" s="181">
        <f t="shared" si="1"/>
        <v>0</v>
      </c>
    </row>
    <row r="84" spans="2:4" ht="12.75">
      <c r="B84" s="180"/>
      <c r="C84" s="171"/>
      <c r="D84" s="181">
        <f t="shared" si="1"/>
        <v>0</v>
      </c>
    </row>
    <row r="85" spans="2:4" ht="12.75">
      <c r="B85" s="180"/>
      <c r="C85" s="171"/>
      <c r="D85" s="181">
        <f t="shared" si="1"/>
        <v>0</v>
      </c>
    </row>
    <row r="86" spans="2:4" ht="12.75">
      <c r="B86" s="180"/>
      <c r="C86" s="171"/>
      <c r="D86" s="181">
        <f t="shared" si="1"/>
        <v>0</v>
      </c>
    </row>
    <row r="87" spans="2:4" ht="12.75">
      <c r="B87" s="180"/>
      <c r="C87" s="171"/>
      <c r="D87" s="181">
        <f t="shared" si="1"/>
        <v>0</v>
      </c>
    </row>
    <row r="88" spans="2:4" ht="12.75">
      <c r="B88" s="180"/>
      <c r="C88" s="171"/>
      <c r="D88" s="181">
        <f t="shared" si="1"/>
        <v>0</v>
      </c>
    </row>
    <row r="89" spans="2:4" ht="12.75">
      <c r="B89" s="180"/>
      <c r="C89" s="171"/>
      <c r="D89" s="181">
        <f t="shared" si="1"/>
        <v>0</v>
      </c>
    </row>
    <row r="90" spans="2:3" ht="12.75">
      <c r="B90" s="59"/>
      <c r="C90" s="59"/>
    </row>
    <row r="92" spans="2:7" ht="20.25">
      <c r="B92" s="60" t="s">
        <v>238</v>
      </c>
      <c r="C92" s="44"/>
      <c r="D92" s="44"/>
      <c r="E92" s="44"/>
      <c r="F92" s="44"/>
      <c r="G92" s="44"/>
    </row>
    <row r="93" spans="2:7" s="59" customFormat="1" ht="12.75">
      <c r="B93"/>
      <c r="C93"/>
      <c r="D93"/>
      <c r="E93" s="162"/>
      <c r="F93" s="162"/>
      <c r="G93" s="162"/>
    </row>
    <row r="94" spans="2:7" ht="15.75">
      <c r="B94" s="61" t="s">
        <v>87</v>
      </c>
      <c r="E94" s="162"/>
      <c r="F94" s="162"/>
      <c r="G94" s="162"/>
    </row>
    <row r="95" spans="5:7" ht="12.75">
      <c r="E95" s="162"/>
      <c r="F95" s="162"/>
      <c r="G95" s="162"/>
    </row>
  </sheetData>
  <mergeCells count="2">
    <mergeCell ref="B4:G4"/>
    <mergeCell ref="B2:G2"/>
  </mergeCells>
  <printOptions/>
  <pageMargins left="0.75" right="0.75" top="1" bottom="1" header="0.492125985" footer="0.49212598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1"/>
  <dimension ref="A1:I100"/>
  <sheetViews>
    <sheetView zoomScale="80" zoomScaleNormal="80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5" width="16.140625" style="1" customWidth="1"/>
    <col min="6" max="6" width="18.140625" style="1" customWidth="1"/>
    <col min="7" max="7" width="15.140625" style="1" customWidth="1"/>
    <col min="8" max="8" width="8.00390625" style="1" customWidth="1"/>
    <col min="9" max="16384" width="9.140625" style="1" customWidth="1"/>
  </cols>
  <sheetData>
    <row r="1" spans="2:8" ht="26.25" customHeight="1" thickBot="1">
      <c r="B1" s="270" t="s">
        <v>88</v>
      </c>
      <c r="C1" s="271"/>
      <c r="D1" s="271"/>
      <c r="E1" s="271"/>
      <c r="F1" s="271"/>
      <c r="G1" s="275" t="s">
        <v>139</v>
      </c>
      <c r="H1" s="272"/>
    </row>
    <row r="2" ht="12" customHeight="1"/>
    <row r="3" spans="2:8" ht="26.25" customHeight="1">
      <c r="B3" s="273" t="s">
        <v>58</v>
      </c>
      <c r="C3" s="274"/>
      <c r="D3" s="274"/>
      <c r="E3" s="274"/>
      <c r="F3" s="274"/>
      <c r="G3" s="274"/>
      <c r="H3" s="274"/>
    </row>
    <row r="4" ht="12" customHeight="1" thickBot="1">
      <c r="F4" s="81" t="s">
        <v>33</v>
      </c>
    </row>
    <row r="5" spans="2:8" ht="26.25" customHeight="1" thickBot="1">
      <c r="B5" s="95" t="s">
        <v>11</v>
      </c>
      <c r="C5" s="42"/>
      <c r="D5" s="42"/>
      <c r="E5" s="42"/>
      <c r="F5" s="80" t="str">
        <f>+D68</f>
        <v>Juros Compostos</v>
      </c>
      <c r="G5" s="182"/>
      <c r="H5" s="183"/>
    </row>
    <row r="6" spans="2:8" ht="26.25" customHeight="1" thickBot="1">
      <c r="B6" s="2" t="s">
        <v>129</v>
      </c>
      <c r="C6" s="69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4" t="s">
        <v>5</v>
      </c>
    </row>
    <row r="7" spans="2:8" ht="26.25" customHeight="1" thickBot="1">
      <c r="B7" s="184">
        <v>3</v>
      </c>
      <c r="C7" s="185">
        <v>3</v>
      </c>
      <c r="D7" s="186" t="s">
        <v>6</v>
      </c>
      <c r="E7" s="187">
        <v>400</v>
      </c>
      <c r="F7" s="188">
        <v>-140</v>
      </c>
      <c r="G7" s="187"/>
      <c r="H7" s="189">
        <v>1</v>
      </c>
    </row>
    <row r="8" spans="2:9" ht="26.25" customHeight="1" thickBot="1">
      <c r="B8" s="215" t="str">
        <f>CHOOSE(B7,"Juros Simples","Desconto Comercial","Juros Compostos")</f>
        <v>Juros Compostos</v>
      </c>
      <c r="C8" s="216">
        <f>IF(C7="?",VLOOKUP($B$7,$B$75:$G$77,C74),"")</f>
      </c>
      <c r="D8" s="217">
        <f>IF(D7="?",VLOOKUP($B$7,$B$75:$G$77,D74),"")</f>
        <v>0.050861593573140226</v>
      </c>
      <c r="E8" s="218">
        <f>IF(E7="?",VLOOKUP($B$7,$B$75:$G$77,E74),"")</f>
      </c>
      <c r="F8" s="218">
        <f>IF(F7="?",VLOOKUP($B$7,$B$75:$G$77,F74),"")</f>
      </c>
      <c r="G8" s="218">
        <f>IF(G7="?",VLOOKUP($B$7,$B$75:$G$77,G74),"")</f>
      </c>
      <c r="H8" s="219" t="str">
        <f>IF(H7=0,"Post","Antec")</f>
        <v>Antec</v>
      </c>
      <c r="I8" s="78" t="s">
        <v>34</v>
      </c>
    </row>
    <row r="9" spans="2:9" ht="26.25" customHeight="1">
      <c r="B9" s="153"/>
      <c r="C9" s="153"/>
      <c r="D9" s="96" t="s">
        <v>120</v>
      </c>
      <c r="E9" s="220" t="str">
        <f>+G57</f>
        <v>[f] [REG] 3 [n] 400 [PV] 140 [CHS]  [PMT] [g] [BEG] [i] Visor =&gt; 5,0862</v>
      </c>
      <c r="F9" s="221"/>
      <c r="G9" s="221"/>
      <c r="H9" s="222"/>
      <c r="I9" s="79" t="s">
        <v>107</v>
      </c>
    </row>
    <row r="10" spans="2:8" ht="26.25" customHeight="1" thickBot="1">
      <c r="B10" s="153"/>
      <c r="C10" s="153"/>
      <c r="D10" s="97" t="s">
        <v>121</v>
      </c>
      <c r="E10" s="223"/>
      <c r="F10" s="223"/>
      <c r="G10" s="223"/>
      <c r="H10" s="224"/>
    </row>
    <row r="11" ht="9" customHeight="1" thickBot="1">
      <c r="F11" s="102"/>
    </row>
    <row r="12" spans="2:7" ht="21" thickBot="1">
      <c r="B12" s="67" t="s">
        <v>12</v>
      </c>
      <c r="C12" s="68"/>
      <c r="D12" s="68"/>
      <c r="E12" s="194"/>
      <c r="G12" s="99"/>
    </row>
    <row r="13" spans="2:7" ht="21" thickBot="1">
      <c r="B13" s="107" t="s">
        <v>7</v>
      </c>
      <c r="C13" s="108" t="s">
        <v>8</v>
      </c>
      <c r="D13" s="108" t="s">
        <v>9</v>
      </c>
      <c r="E13" s="109" t="s">
        <v>10</v>
      </c>
      <c r="G13" s="99"/>
    </row>
    <row r="14" spans="2:7" ht="20.25">
      <c r="B14" s="190">
        <v>0.08</v>
      </c>
      <c r="C14" s="191">
        <v>12</v>
      </c>
      <c r="D14" s="192" t="s">
        <v>6</v>
      </c>
      <c r="E14" s="193">
        <v>1</v>
      </c>
      <c r="G14" s="99"/>
    </row>
    <row r="15" spans="2:7" ht="21" thickBot="1">
      <c r="B15" s="5"/>
      <c r="C15" s="6"/>
      <c r="D15" s="225">
        <f>IF(D14="?",((1+B14)^(C14/E14))-1,"")</f>
        <v>1.5181701168189798</v>
      </c>
      <c r="E15" s="226">
        <f>IF(E14="?",(LN(1+B14)^C14)/LN(1+D14),"")</f>
      </c>
      <c r="G15" s="100"/>
    </row>
    <row r="16" spans="4:7" ht="21" thickBot="1">
      <c r="D16" s="195"/>
      <c r="E16" s="196"/>
      <c r="G16" s="100"/>
    </row>
    <row r="17" spans="2:7" ht="21" thickBot="1">
      <c r="B17" s="67" t="s">
        <v>90</v>
      </c>
      <c r="C17" s="68"/>
      <c r="D17" s="197"/>
      <c r="E17" s="194"/>
      <c r="G17" s="103"/>
    </row>
    <row r="18" spans="2:7" ht="21" thickBot="1">
      <c r="B18" s="107" t="s">
        <v>91</v>
      </c>
      <c r="C18" s="108" t="s">
        <v>92</v>
      </c>
      <c r="D18" s="108" t="s">
        <v>126</v>
      </c>
      <c r="E18" s="109" t="s">
        <v>127</v>
      </c>
      <c r="G18" s="100"/>
    </row>
    <row r="19" spans="2:7" ht="20.25">
      <c r="B19" s="198">
        <v>36892</v>
      </c>
      <c r="C19" s="199">
        <v>37047</v>
      </c>
      <c r="D19" s="192"/>
      <c r="E19" s="200"/>
      <c r="G19" s="99"/>
    </row>
    <row r="20" spans="2:7" ht="21" thickBot="1">
      <c r="B20" s="113">
        <f>IF(B19="?",+C19-E19,"")</f>
      </c>
      <c r="C20" s="114">
        <f>IF(C19="?",+B19+E19,"")</f>
      </c>
      <c r="D20" s="115">
        <f>IF(D19="?",_XLL.DIATRABALHOTOTAL(B19,C19,feriados)-1,"")</f>
      </c>
      <c r="E20" s="116">
        <f>IF(E19="?",+C19-B19,"")</f>
      </c>
      <c r="G20" s="99"/>
    </row>
    <row r="21" spans="2:8" ht="20.25">
      <c r="B21" s="72" t="s">
        <v>128</v>
      </c>
      <c r="C21" s="73"/>
      <c r="D21" s="73"/>
      <c r="E21" s="74"/>
      <c r="H21" s="101"/>
    </row>
    <row r="22" spans="2:7" ht="20.25">
      <c r="B22" s="119" t="s">
        <v>106</v>
      </c>
      <c r="C22" s="117"/>
      <c r="D22" s="118">
        <f>MAX(feriados)</f>
        <v>37615</v>
      </c>
      <c r="E22" s="120" t="str">
        <f>IF(C19&gt;D22,"Faltam feriados","Ok")</f>
        <v>Ok</v>
      </c>
      <c r="G22" s="98"/>
    </row>
    <row r="23" spans="2:5" ht="21" thickBot="1">
      <c r="B23" s="75" t="s">
        <v>131</v>
      </c>
      <c r="C23" s="76"/>
      <c r="D23" s="77">
        <f>MIN(feriados)</f>
        <v>36892</v>
      </c>
      <c r="E23" s="106" t="str">
        <f>IF(C19&lt;D23,"Faltam feriados","Ok")</f>
        <v>Ok</v>
      </c>
    </row>
    <row r="35" ht="21" thickBot="1"/>
    <row r="36" spans="2:8" ht="21" thickBot="1">
      <c r="B36" s="134" t="s">
        <v>125</v>
      </c>
      <c r="C36" s="132"/>
      <c r="D36" s="132"/>
      <c r="E36" s="132"/>
      <c r="F36" s="132"/>
      <c r="G36" s="132"/>
      <c r="H36" s="133"/>
    </row>
    <row r="37" spans="2:8" ht="20.25">
      <c r="B37" s="201">
        <v>36892</v>
      </c>
      <c r="C37" s="202">
        <v>37257</v>
      </c>
      <c r="D37" s="203"/>
      <c r="E37" s="203"/>
      <c r="F37" s="203"/>
      <c r="G37" s="203"/>
      <c r="H37" s="204"/>
    </row>
    <row r="38" spans="2:8" ht="20.25">
      <c r="B38" s="205">
        <v>36948</v>
      </c>
      <c r="C38" s="206">
        <v>37298</v>
      </c>
      <c r="D38" s="207"/>
      <c r="E38" s="207"/>
      <c r="F38" s="207"/>
      <c r="G38" s="207"/>
      <c r="H38" s="208"/>
    </row>
    <row r="39" spans="2:8" ht="20.25">
      <c r="B39" s="205">
        <v>36949</v>
      </c>
      <c r="C39" s="206">
        <v>37299</v>
      </c>
      <c r="D39" s="207"/>
      <c r="E39" s="207"/>
      <c r="F39" s="207"/>
      <c r="G39" s="207"/>
      <c r="H39" s="208"/>
    </row>
    <row r="40" spans="2:8" ht="20.25">
      <c r="B40" s="205">
        <v>36994</v>
      </c>
      <c r="C40" s="206">
        <v>37344</v>
      </c>
      <c r="D40" s="207"/>
      <c r="E40" s="207"/>
      <c r="F40" s="207"/>
      <c r="G40" s="207"/>
      <c r="H40" s="208"/>
    </row>
    <row r="41" spans="2:8" ht="20.25">
      <c r="B41" s="205">
        <v>37002</v>
      </c>
      <c r="C41" s="206">
        <v>37367</v>
      </c>
      <c r="D41" s="207"/>
      <c r="E41" s="207"/>
      <c r="F41" s="207"/>
      <c r="G41" s="207"/>
      <c r="H41" s="208"/>
    </row>
    <row r="42" spans="2:8" ht="20.25">
      <c r="B42" s="205">
        <v>37012</v>
      </c>
      <c r="C42" s="206">
        <v>37377</v>
      </c>
      <c r="D42" s="207"/>
      <c r="E42" s="207"/>
      <c r="F42" s="207"/>
      <c r="G42" s="207"/>
      <c r="H42" s="208"/>
    </row>
    <row r="43" spans="2:8" ht="20.25">
      <c r="B43" s="205">
        <v>37056</v>
      </c>
      <c r="C43" s="206">
        <v>37406</v>
      </c>
      <c r="D43" s="207"/>
      <c r="E43" s="207"/>
      <c r="F43" s="207"/>
      <c r="G43" s="207"/>
      <c r="H43" s="208"/>
    </row>
    <row r="44" spans="2:8" ht="20.25">
      <c r="B44" s="205">
        <v>37141</v>
      </c>
      <c r="C44" s="206">
        <v>37506</v>
      </c>
      <c r="D44" s="207"/>
      <c r="E44" s="207"/>
      <c r="F44" s="207"/>
      <c r="G44" s="207"/>
      <c r="H44" s="208"/>
    </row>
    <row r="45" spans="2:8" ht="20.25">
      <c r="B45" s="205">
        <v>37176</v>
      </c>
      <c r="C45" s="206">
        <v>37602</v>
      </c>
      <c r="D45" s="207"/>
      <c r="E45" s="207"/>
      <c r="F45" s="207"/>
      <c r="G45" s="207"/>
      <c r="H45" s="208"/>
    </row>
    <row r="46" spans="2:8" ht="20.25">
      <c r="B46" s="205">
        <v>37197</v>
      </c>
      <c r="C46" s="206">
        <v>37562</v>
      </c>
      <c r="D46" s="207"/>
      <c r="E46" s="207"/>
      <c r="F46" s="207"/>
      <c r="G46" s="207"/>
      <c r="H46" s="208"/>
    </row>
    <row r="47" spans="2:8" ht="20.25">
      <c r="B47" s="205">
        <v>37210</v>
      </c>
      <c r="C47" s="206">
        <v>37575</v>
      </c>
      <c r="D47" s="207"/>
      <c r="E47" s="207"/>
      <c r="F47" s="207"/>
      <c r="G47" s="207"/>
      <c r="H47" s="208"/>
    </row>
    <row r="48" spans="2:8" ht="20.25">
      <c r="B48" s="205">
        <v>37250</v>
      </c>
      <c r="C48" s="206">
        <v>37615</v>
      </c>
      <c r="D48" s="207"/>
      <c r="E48" s="207"/>
      <c r="F48" s="207"/>
      <c r="G48" s="207"/>
      <c r="H48" s="208"/>
    </row>
    <row r="49" spans="2:8" ht="20.25">
      <c r="B49" s="209"/>
      <c r="C49" s="207"/>
      <c r="D49" s="207"/>
      <c r="E49" s="207"/>
      <c r="F49" s="207"/>
      <c r="G49" s="207"/>
      <c r="H49" s="208"/>
    </row>
    <row r="50" spans="2:8" ht="21" thickBot="1">
      <c r="B50" s="210"/>
      <c r="C50" s="211"/>
      <c r="D50" s="211"/>
      <c r="E50" s="211"/>
      <c r="F50" s="211"/>
      <c r="G50" s="211"/>
      <c r="H50" s="212"/>
    </row>
    <row r="52" spans="1:9" ht="20.25">
      <c r="A52" s="267"/>
      <c r="B52" s="267"/>
      <c r="C52" s="267">
        <f>IF(C7="?",1,"")</f>
      </c>
      <c r="D52" s="267">
        <f>IF(D7="?",2,"")</f>
        <v>2</v>
      </c>
      <c r="E52" s="267">
        <f>IF(E7="?",3,"")</f>
      </c>
      <c r="F52" s="267">
        <f>IF(F7="?",4,"")</f>
      </c>
      <c r="G52" s="267">
        <f>IF(G7="?",5,"")</f>
      </c>
      <c r="H52" s="267"/>
      <c r="I52" s="267" t="s">
        <v>248</v>
      </c>
    </row>
    <row r="53" spans="1:9" ht="20.25">
      <c r="A53" s="268"/>
      <c r="B53" s="268"/>
      <c r="C53" s="268" t="str">
        <f aca="true" t="shared" si="0" ref="C53:H53">+C6</f>
        <v>N</v>
      </c>
      <c r="D53" s="268" t="str">
        <f t="shared" si="0"/>
        <v>I</v>
      </c>
      <c r="E53" s="268" t="str">
        <f t="shared" si="0"/>
        <v>PV</v>
      </c>
      <c r="F53" s="268" t="str">
        <f t="shared" si="0"/>
        <v>PMT</v>
      </c>
      <c r="G53" s="268" t="str">
        <f t="shared" si="0"/>
        <v>FV</v>
      </c>
      <c r="H53" s="268" t="str">
        <f t="shared" si="0"/>
        <v>TIPO</v>
      </c>
      <c r="I53" s="268" t="s">
        <v>248</v>
      </c>
    </row>
    <row r="54" spans="1:9" ht="20.25">
      <c r="A54" s="268" t="s">
        <v>242</v>
      </c>
      <c r="B54" s="267">
        <v>1</v>
      </c>
      <c r="C54" s="267" t="e">
        <f>CONCATENATE(ABS(G7)," [ENTER] ",ABS(E7)," [/] 1 [-] ",D7*100," [/] Visor =&gt; ",TEXT(ROUND(C8,4),"#0,0000"))</f>
        <v>#VALUE!</v>
      </c>
      <c r="D54" s="267" t="str">
        <f>CONCATENATE(ABS(G7)," [ENTER] ",ABS(E7)," [/] 1 [-] ",C7," [/] Visor =&gt; ",TEXT(ROUND(D8,4),"#0,0000"))</f>
        <v>0 [ENTER] 400 [/] 1 [-] 3 [/] Visor =&gt; 0,0509</v>
      </c>
      <c r="E54" s="267" t="e">
        <f>CONCATENATE(ABS(G7)," [ENTER] ",D7," [ENTER]",C7," [x]"," 1 [+] [/] Visor =&gt; ",TEXT(ROUND(ABS(E8),4),"#0,0000"))</f>
        <v>#VALUE!</v>
      </c>
      <c r="F54" s="267" t="s">
        <v>241</v>
      </c>
      <c r="G54" s="267" t="e">
        <f>CONCATENATE(ABS(E7)," [ENTER] ",D7," [ENTER] ",C7," [x]"," 1 [+] [x] Visor =&gt; ",TEXT(ROUND(ABS(G8),4),"#0,0000"))</f>
        <v>#VALUE!</v>
      </c>
      <c r="H54" s="267"/>
      <c r="I54" s="267" t="s">
        <v>248</v>
      </c>
    </row>
    <row r="55" spans="1:9" ht="20.25">
      <c r="A55" s="268" t="s">
        <v>244</v>
      </c>
      <c r="B55" s="267">
        <v>2</v>
      </c>
      <c r="C55" s="267" t="e">
        <f>CONCATENATE(" 1 [ENTER] ",ABS(E7)," [ENTER] ",ABS(G7)," [/] [-] ",D7," [/] Visor =&gt; ",TEXT(ROUND(C8,4),"#0,0000"))</f>
        <v>#VALUE!</v>
      </c>
      <c r="D55" s="267" t="str">
        <f>CONCATENATE(" 1 [ENTER] ",ABS(E7)," [ENTER] ",ABS(G7)," [/] [-] ",C7," [/] Visor =&gt; ",TEXT(ROUND(D8,4),"#0,0000"))</f>
        <v> 1 [ENTER] 400 [ENTER] 0 [/] [-] 3 [/] Visor =&gt; 0,0509</v>
      </c>
      <c r="E55" s="267" t="e">
        <f>CONCATENATE(ABS(G7)," [ENTER] 1 [ENTER] ",D7," [ENTER] ",C7," [x] [-] [x] Visor =&gt; ",TEXT(ROUND(ABS(E8),4),"#0,0000"))</f>
        <v>#VALUE!</v>
      </c>
      <c r="F55" s="267" t="s">
        <v>241</v>
      </c>
      <c r="G55" s="267" t="e">
        <f>CONCATENATE(ABS(E7)," [ENTER] 1 [ENTER] ",D7," [ENTER] ",C7," [x] [-] [/] Visor =&gt; ",TEXT(ROUND(ABS(G8),4),"#0,0000"))</f>
        <v>#VALUE!</v>
      </c>
      <c r="H55" s="267"/>
      <c r="I55" s="267" t="s">
        <v>248</v>
      </c>
    </row>
    <row r="56" spans="1:9" ht="20.25">
      <c r="A56" s="268" t="s">
        <v>243</v>
      </c>
      <c r="B56" s="267">
        <v>3</v>
      </c>
      <c r="C56" s="267" t="e">
        <f>+C83</f>
        <v>#VALUE!</v>
      </c>
      <c r="D56" s="267" t="str">
        <f>+C84</f>
        <v>[f] [REG] 3 [n] 400 [PV] 140 [CHS]  [PMT] [g] [BEG] [i] Visor =&gt; 5,0862</v>
      </c>
      <c r="E56" s="267" t="e">
        <f>+C85</f>
        <v>#VALUE!</v>
      </c>
      <c r="F56" s="267" t="e">
        <f>+C86</f>
        <v>#VALUE!</v>
      </c>
      <c r="G56" s="267" t="e">
        <f>+C87</f>
        <v>#VALUE!</v>
      </c>
      <c r="H56" s="267"/>
      <c r="I56" s="267" t="s">
        <v>248</v>
      </c>
    </row>
    <row r="57" spans="1:9" ht="20.25">
      <c r="A57" s="268" t="s">
        <v>245</v>
      </c>
      <c r="B57" s="269"/>
      <c r="C57" s="269">
        <f>+B7</f>
        <v>3</v>
      </c>
      <c r="D57" s="269" t="s">
        <v>246</v>
      </c>
      <c r="E57" s="269">
        <f>MAX(B52:G52)</f>
        <v>2</v>
      </c>
      <c r="F57" s="269" t="s">
        <v>247</v>
      </c>
      <c r="G57" s="269" t="str">
        <f>VLOOKUP(B7,B54:G56,E57+1)</f>
        <v>[f] [REG] 3 [n] 400 [PV] 140 [CHS]  [PMT] [g] [BEG] [i] Visor =&gt; 5,0862</v>
      </c>
      <c r="H57" s="269"/>
      <c r="I57" s="269" t="s">
        <v>248</v>
      </c>
    </row>
    <row r="67" spans="1:9" ht="21" thickBot="1">
      <c r="A67" s="227"/>
      <c r="B67" s="227"/>
      <c r="C67" s="227"/>
      <c r="D67" s="227"/>
      <c r="E67" s="227"/>
      <c r="F67" s="227"/>
      <c r="G67" s="227"/>
      <c r="H67" s="227"/>
      <c r="I67" s="227"/>
    </row>
    <row r="68" spans="1:9" ht="20.25">
      <c r="A68" s="227"/>
      <c r="B68" s="228" t="s">
        <v>54</v>
      </c>
      <c r="C68" s="229">
        <f>+B7</f>
        <v>3</v>
      </c>
      <c r="D68" s="230" t="str">
        <f>CHOOSE(B7,"Juros Simples","Desconto Comercial","Juros Compostos")</f>
        <v>Juros Compostos</v>
      </c>
      <c r="E68" s="230"/>
      <c r="F68" s="230" t="s">
        <v>105</v>
      </c>
      <c r="G68" s="230"/>
      <c r="H68" s="231"/>
      <c r="I68" s="227"/>
    </row>
    <row r="69" spans="1:9" ht="20.25">
      <c r="A69" s="227"/>
      <c r="B69" s="232"/>
      <c r="C69" s="233" t="s">
        <v>55</v>
      </c>
      <c r="D69" s="234"/>
      <c r="E69" s="234"/>
      <c r="F69" s="234"/>
      <c r="G69" s="234"/>
      <c r="H69" s="235"/>
      <c r="I69" s="227"/>
    </row>
    <row r="70" spans="1:9" ht="20.25">
      <c r="A70" s="227"/>
      <c r="B70" s="232"/>
      <c r="C70" s="233" t="s">
        <v>56</v>
      </c>
      <c r="D70" s="234"/>
      <c r="E70" s="234"/>
      <c r="F70" s="234"/>
      <c r="G70" s="234"/>
      <c r="H70" s="235"/>
      <c r="I70" s="227"/>
    </row>
    <row r="71" spans="1:9" ht="21" thickBot="1">
      <c r="A71" s="227"/>
      <c r="B71" s="236"/>
      <c r="C71" s="237" t="s">
        <v>57</v>
      </c>
      <c r="D71" s="238"/>
      <c r="E71" s="238"/>
      <c r="F71" s="238"/>
      <c r="G71" s="238"/>
      <c r="H71" s="239"/>
      <c r="I71" s="227"/>
    </row>
    <row r="72" spans="1:9" ht="21" thickBot="1">
      <c r="A72" s="227"/>
      <c r="B72" s="240"/>
      <c r="C72" s="240"/>
      <c r="D72" s="240"/>
      <c r="E72" s="240"/>
      <c r="F72" s="240"/>
      <c r="G72" s="240"/>
      <c r="H72" s="240"/>
      <c r="I72" s="227"/>
    </row>
    <row r="73" spans="1:9" ht="20.25">
      <c r="A73" s="227"/>
      <c r="B73" s="241" t="s">
        <v>239</v>
      </c>
      <c r="C73" s="242"/>
      <c r="D73" s="242"/>
      <c r="E73" s="242"/>
      <c r="F73" s="242"/>
      <c r="G73" s="243"/>
      <c r="H73" s="240"/>
      <c r="I73" s="227"/>
    </row>
    <row r="74" spans="1:9" ht="20.25">
      <c r="A74" s="227"/>
      <c r="B74" s="244"/>
      <c r="C74" s="245">
        <v>2</v>
      </c>
      <c r="D74" s="245">
        <f>+C74+1</f>
        <v>3</v>
      </c>
      <c r="E74" s="245">
        <f>+D74+1</f>
        <v>4</v>
      </c>
      <c r="F74" s="245">
        <f>+E74+1</f>
        <v>5</v>
      </c>
      <c r="G74" s="246">
        <f>+F74+1</f>
        <v>6</v>
      </c>
      <c r="H74" s="240"/>
      <c r="I74" s="227"/>
    </row>
    <row r="75" spans="1:9" ht="20.25">
      <c r="A75" s="227"/>
      <c r="B75" s="244">
        <v>1</v>
      </c>
      <c r="C75" s="247" t="e">
        <f>((-G7/E7)-1)/D7</f>
        <v>#VALUE!</v>
      </c>
      <c r="D75" s="248">
        <f>((-G7/E7)-1)/C7</f>
        <v>-0.3333333333333333</v>
      </c>
      <c r="E75" s="247" t="e">
        <f>-G7/(1+D7*C7)</f>
        <v>#VALUE!</v>
      </c>
      <c r="F75" s="249" t="s">
        <v>59</v>
      </c>
      <c r="G75" s="250" t="e">
        <f>-E7*(1+D7*C7)</f>
        <v>#VALUE!</v>
      </c>
      <c r="H75" s="240"/>
      <c r="I75" s="227"/>
    </row>
    <row r="76" spans="1:9" ht="20.25">
      <c r="A76" s="227"/>
      <c r="B76" s="244">
        <v>2</v>
      </c>
      <c r="C76" s="247" t="e">
        <f>+(1-(-E7/G7))/D7</f>
        <v>#DIV/0!</v>
      </c>
      <c r="D76" s="248" t="e">
        <f>+(1-(-E7/G7))/C7</f>
        <v>#DIV/0!</v>
      </c>
      <c r="E76" s="247" t="e">
        <f>-G7*(1-D7*C7)</f>
        <v>#VALUE!</v>
      </c>
      <c r="F76" s="249" t="s">
        <v>59</v>
      </c>
      <c r="G76" s="250" t="e">
        <f>-E7/(1-D7*C7)</f>
        <v>#VALUE!</v>
      </c>
      <c r="H76" s="240"/>
      <c r="I76" s="227"/>
    </row>
    <row r="77" spans="1:9" ht="21" thickBot="1">
      <c r="A77" s="227"/>
      <c r="B77" s="251">
        <v>3</v>
      </c>
      <c r="C77" s="252" t="e">
        <f>NPER(D7,F7,E7,G7,H7)</f>
        <v>#VALUE!</v>
      </c>
      <c r="D77" s="253">
        <f>RATE(C7,F7,E7,G7,H7)</f>
        <v>0.050861593573140226</v>
      </c>
      <c r="E77" s="252" t="e">
        <f>PV(D7,C7,F7,G7,H7)</f>
        <v>#VALUE!</v>
      </c>
      <c r="F77" s="252" t="e">
        <f>PMT(D7,C7,E7,G7,H7)</f>
        <v>#VALUE!</v>
      </c>
      <c r="G77" s="254" t="e">
        <f>FV(D7,C7,F7,E7,H7)</f>
        <v>#VALUE!</v>
      </c>
      <c r="H77" s="240"/>
      <c r="I77" s="227"/>
    </row>
    <row r="78" spans="1:9" ht="21" thickBot="1">
      <c r="A78" s="227"/>
      <c r="B78" s="240"/>
      <c r="C78" s="240"/>
      <c r="D78" s="240"/>
      <c r="E78" s="240"/>
      <c r="F78" s="240"/>
      <c r="G78" s="240"/>
      <c r="H78" s="240"/>
      <c r="I78" s="227"/>
    </row>
    <row r="79" spans="1:9" ht="20.25">
      <c r="A79" s="227"/>
      <c r="B79" s="255" t="s">
        <v>108</v>
      </c>
      <c r="C79" s="256"/>
      <c r="D79" s="256"/>
      <c r="E79" s="256"/>
      <c r="F79" s="256"/>
      <c r="G79" s="256"/>
      <c r="H79" s="257"/>
      <c r="I79" s="227"/>
    </row>
    <row r="80" spans="1:9" ht="20.25">
      <c r="A80" s="227"/>
      <c r="B80" s="258" t="s">
        <v>65</v>
      </c>
      <c r="C80" s="259" t="s">
        <v>0</v>
      </c>
      <c r="D80" s="259" t="s">
        <v>1</v>
      </c>
      <c r="E80" s="259" t="s">
        <v>2</v>
      </c>
      <c r="F80" s="259" t="s">
        <v>3</v>
      </c>
      <c r="G80" s="259" t="s">
        <v>4</v>
      </c>
      <c r="H80" s="260" t="s">
        <v>5</v>
      </c>
      <c r="I80" s="227"/>
    </row>
    <row r="81" spans="1:9" ht="20.25">
      <c r="A81" s="227"/>
      <c r="B81" s="261"/>
      <c r="C81" s="262"/>
      <c r="D81" s="262"/>
      <c r="E81" s="262">
        <f>IF(E7&lt;0," [CHS] ","")</f>
      </c>
      <c r="F81" s="262" t="str">
        <f>IF(F7&lt;0," [CHS] ","")</f>
        <v> [CHS] </v>
      </c>
      <c r="G81" s="262">
        <f>IF(G7&lt;0," [CHS] ","")</f>
      </c>
      <c r="H81" s="263"/>
      <c r="I81" s="227"/>
    </row>
    <row r="82" spans="1:9" ht="20.25">
      <c r="A82" s="227"/>
      <c r="B82" s="261"/>
      <c r="C82" s="262" t="str">
        <f>CONCATENATE(C7," [n] ")</f>
        <v>3 [n] </v>
      </c>
      <c r="D82" s="262" t="e">
        <f>CONCATENATE(D7*100," [i] ")</f>
        <v>#VALUE!</v>
      </c>
      <c r="E82" s="262" t="str">
        <f>IF(E7="","",CONCATENATE(ABS(E7),E81," [PV] "))</f>
        <v>400 [PV] </v>
      </c>
      <c r="F82" s="262" t="str">
        <f>IF(F7="","",CONCATENATE(ABS(F7),F81," [PMT] "))</f>
        <v>140 [CHS]  [PMT] </v>
      </c>
      <c r="G82" s="262">
        <f>IF(G7="","",CONCATENATE(ABS(G7),G81," [FV] "))</f>
      </c>
      <c r="H82" s="263" t="str">
        <f>IF(H7&lt;1,"[g] [END]","[g] [BEG]")</f>
        <v>[g] [BEG]</v>
      </c>
      <c r="I82" s="227"/>
    </row>
    <row r="83" spans="1:9" ht="20.25">
      <c r="A83" s="227"/>
      <c r="B83" s="261" t="s">
        <v>0</v>
      </c>
      <c r="C83" s="262" t="e">
        <f>CONCATENATE("[f] [REG] ",D82,E82,F82,G82,H82," [n] Visor =&gt; ",ROUNDUP(C8,0)," . A HP aproxima o cálculo de n para o inteiro superior. Seu valor com quatro casas é igual a ",ROUND(C8,4))</f>
        <v>#VALUE!</v>
      </c>
      <c r="D83" s="262"/>
      <c r="E83" s="262"/>
      <c r="F83" s="262"/>
      <c r="G83" s="262"/>
      <c r="H83" s="263"/>
      <c r="I83" s="227"/>
    </row>
    <row r="84" spans="1:9" ht="20.25">
      <c r="A84" s="227"/>
      <c r="B84" s="261" t="s">
        <v>1</v>
      </c>
      <c r="C84" s="262" t="str">
        <f>CONCATENATE("[f] [REG] ",C82,E82,F82,G82,H82," [i] Visor =&gt; ",ROUND(D8*100,4))</f>
        <v>[f] [REG] 3 [n] 400 [PV] 140 [CHS]  [PMT] [g] [BEG] [i] Visor =&gt; 5,0862</v>
      </c>
      <c r="D84" s="262"/>
      <c r="E84" s="262"/>
      <c r="F84" s="262"/>
      <c r="G84" s="262"/>
      <c r="H84" s="263"/>
      <c r="I84" s="227"/>
    </row>
    <row r="85" spans="1:9" ht="20.25">
      <c r="A85" s="227"/>
      <c r="B85" s="261" t="s">
        <v>2</v>
      </c>
      <c r="C85" s="262" t="e">
        <f>CONCATENATE("[f] [REG] ",C82,D82,F82,G82,H82," [PV] Visor =&gt; ",ROUND(E8,4))</f>
        <v>#VALUE!</v>
      </c>
      <c r="D85" s="262"/>
      <c r="E85" s="262"/>
      <c r="F85" s="262"/>
      <c r="G85" s="262"/>
      <c r="H85" s="263"/>
      <c r="I85" s="227"/>
    </row>
    <row r="86" spans="1:9" ht="20.25">
      <c r="A86" s="227"/>
      <c r="B86" s="261" t="s">
        <v>3</v>
      </c>
      <c r="C86" s="262" t="e">
        <f>CONCATENATE("[f] [REG] ",C82,D82,E82,G82,H82," [PMT] Visor =&gt; ",ROUND(F8,4))</f>
        <v>#VALUE!</v>
      </c>
      <c r="D86" s="262"/>
      <c r="E86" s="262"/>
      <c r="F86" s="262"/>
      <c r="G86" s="262"/>
      <c r="H86" s="263"/>
      <c r="I86" s="227"/>
    </row>
    <row r="87" spans="1:9" ht="21" thickBot="1">
      <c r="A87" s="227"/>
      <c r="B87" s="264" t="s">
        <v>4</v>
      </c>
      <c r="C87" s="265" t="e">
        <f>CONCATENATE("[f] [REG] ",C82,D82,F82,E82,H82," [FV] Visor =&gt; ",ROUND(G8,4))</f>
        <v>#VALUE!</v>
      </c>
      <c r="D87" s="265"/>
      <c r="E87" s="265"/>
      <c r="F87" s="265"/>
      <c r="G87" s="265"/>
      <c r="H87" s="266"/>
      <c r="I87" s="227"/>
    </row>
    <row r="88" spans="1:9" ht="20.25">
      <c r="A88" s="227"/>
      <c r="B88" s="240"/>
      <c r="C88" s="240"/>
      <c r="D88" s="240"/>
      <c r="E88" s="240"/>
      <c r="F88" s="240"/>
      <c r="G88" s="240"/>
      <c r="H88" s="240"/>
      <c r="I88" s="227"/>
    </row>
    <row r="89" spans="1:9" ht="20.25">
      <c r="A89" s="227"/>
      <c r="B89" s="240"/>
      <c r="C89" s="240"/>
      <c r="D89" s="240"/>
      <c r="E89" s="240"/>
      <c r="F89" s="240"/>
      <c r="G89" s="240"/>
      <c r="H89" s="240"/>
      <c r="I89" s="227"/>
    </row>
    <row r="90" spans="2:8" ht="20.25">
      <c r="B90" s="213"/>
      <c r="C90" s="213"/>
      <c r="D90" s="213"/>
      <c r="E90" s="213"/>
      <c r="F90" s="213"/>
      <c r="G90" s="213"/>
      <c r="H90" s="213"/>
    </row>
    <row r="91" spans="2:8" ht="20.25">
      <c r="B91" s="213"/>
      <c r="C91" s="213"/>
      <c r="D91" s="213"/>
      <c r="E91" s="213"/>
      <c r="F91" s="213"/>
      <c r="G91" s="213"/>
      <c r="H91" s="213"/>
    </row>
    <row r="92" spans="2:8" ht="20.25">
      <c r="B92" s="213"/>
      <c r="C92" s="213"/>
      <c r="D92" s="213"/>
      <c r="E92" s="213"/>
      <c r="F92" s="213"/>
      <c r="G92" s="213"/>
      <c r="H92" s="213"/>
    </row>
    <row r="93" spans="2:8" ht="20.25">
      <c r="B93" s="213"/>
      <c r="C93" s="213"/>
      <c r="D93" s="213"/>
      <c r="E93" s="213"/>
      <c r="F93" s="213"/>
      <c r="G93" s="213"/>
      <c r="H93" s="213"/>
    </row>
    <row r="94" spans="2:8" ht="20.25">
      <c r="B94" s="213"/>
      <c r="C94" s="213"/>
      <c r="D94" s="213"/>
      <c r="E94" s="213"/>
      <c r="F94" s="213"/>
      <c r="G94" s="213"/>
      <c r="H94" s="213"/>
    </row>
    <row r="95" spans="2:8" ht="20.25">
      <c r="B95" s="213"/>
      <c r="C95" s="213"/>
      <c r="D95" s="213"/>
      <c r="E95" s="213"/>
      <c r="F95" s="213"/>
      <c r="G95" s="213"/>
      <c r="H95" s="213"/>
    </row>
    <row r="96" spans="2:8" ht="20.25">
      <c r="B96" s="213"/>
      <c r="C96" s="213"/>
      <c r="D96" s="213"/>
      <c r="E96" s="213"/>
      <c r="F96" s="213"/>
      <c r="G96" s="213"/>
      <c r="H96" s="213"/>
    </row>
    <row r="97" spans="2:8" ht="20.25">
      <c r="B97" s="213"/>
      <c r="C97" s="213"/>
      <c r="D97" s="213"/>
      <c r="E97" s="213"/>
      <c r="F97" s="213"/>
      <c r="G97" s="213"/>
      <c r="H97" s="213"/>
    </row>
    <row r="98" spans="2:8" ht="20.25">
      <c r="B98" s="213"/>
      <c r="C98" s="213"/>
      <c r="D98" s="213"/>
      <c r="E98" s="213"/>
      <c r="F98" s="213"/>
      <c r="G98" s="213"/>
      <c r="H98" s="213"/>
    </row>
    <row r="99" spans="2:8" ht="20.25">
      <c r="B99" s="213"/>
      <c r="C99" s="213"/>
      <c r="D99" s="213"/>
      <c r="E99" s="213"/>
      <c r="F99" s="213"/>
      <c r="G99" s="213"/>
      <c r="H99" s="213"/>
    </row>
    <row r="100" spans="2:8" ht="20.25">
      <c r="B100" s="213"/>
      <c r="C100" s="213"/>
      <c r="D100" s="213"/>
      <c r="E100" s="213"/>
      <c r="F100" s="213"/>
      <c r="G100" s="213"/>
      <c r="H100" s="213"/>
    </row>
  </sheetData>
  <conditionalFormatting sqref="F5">
    <cfRule type="cellIs" priority="1" dxfId="0" operator="notEqual" stopIfTrue="1">
      <formula>$F$4</formula>
    </cfRule>
  </conditionalFormatting>
  <printOptions/>
  <pageMargins left="0.75" right="0.75" top="1" bottom="1" header="0.492125985" footer="0.492125985"/>
  <pageSetup horizontalDpi="300" verticalDpi="300" orientation="portrait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25"/>
  <dimension ref="B2:G7"/>
  <sheetViews>
    <sheetView workbookViewId="0" topLeftCell="A1">
      <selection activeCell="B2" sqref="B2:G2"/>
    </sheetView>
  </sheetViews>
  <sheetFormatPr defaultColWidth="9.140625" defaultRowHeight="12.75"/>
  <cols>
    <col min="3" max="3" width="15.57421875" style="0" customWidth="1"/>
    <col min="4" max="4" width="10.28125" style="0" bestFit="1" customWidth="1"/>
  </cols>
  <sheetData>
    <row r="1" ht="13.5" thickBot="1"/>
    <row r="2" spans="2:7" ht="28.5" thickBot="1">
      <c r="B2" s="282" t="s">
        <v>144</v>
      </c>
      <c r="C2" s="283"/>
      <c r="D2" s="283"/>
      <c r="E2" s="283"/>
      <c r="F2" s="283"/>
      <c r="G2" s="284"/>
    </row>
    <row r="4" spans="3:6" ht="12.75">
      <c r="C4" s="110" t="s">
        <v>14</v>
      </c>
      <c r="D4" s="110" t="s">
        <v>13</v>
      </c>
      <c r="E4" s="110" t="s">
        <v>89</v>
      </c>
      <c r="F4" s="110" t="s">
        <v>130</v>
      </c>
    </row>
    <row r="5" spans="3:6" ht="12.75">
      <c r="C5" s="135" t="s">
        <v>6</v>
      </c>
      <c r="D5" s="111">
        <v>80000</v>
      </c>
      <c r="E5" s="112">
        <v>0.04</v>
      </c>
      <c r="F5" s="23">
        <v>3.4940485593861452</v>
      </c>
    </row>
    <row r="6" ht="12.75">
      <c r="C6" s="71">
        <f>IF(C5="?",EXP(E5*F5)*D5,"")</f>
        <v>92000.00000002641</v>
      </c>
    </row>
    <row r="7" ht="12.75">
      <c r="C7" s="70"/>
    </row>
  </sheetData>
  <mergeCells count="1">
    <mergeCell ref="B2:G2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17"/>
  <dimension ref="B2:N69"/>
  <sheetViews>
    <sheetView zoomScale="50" zoomScaleNormal="50" workbookViewId="0" topLeftCell="A1">
      <selection activeCell="B2" sqref="B2"/>
    </sheetView>
  </sheetViews>
  <sheetFormatPr defaultColWidth="9.140625" defaultRowHeight="12.75"/>
  <cols>
    <col min="1" max="16384" width="9.140625" style="23" customWidth="1"/>
  </cols>
  <sheetData>
    <row r="2" ht="33.75">
      <c r="B2" s="137" t="s">
        <v>148</v>
      </c>
    </row>
    <row r="3" spans="2:14" ht="25.5">
      <c r="B3" s="38"/>
      <c r="L3" s="141"/>
      <c r="M3" s="141"/>
      <c r="N3" s="141"/>
    </row>
    <row r="4" spans="2:14" ht="25.5">
      <c r="B4" s="39" t="s">
        <v>145</v>
      </c>
      <c r="L4" s="141"/>
      <c r="M4" s="141"/>
      <c r="N4" s="141"/>
    </row>
    <row r="5" spans="2:14" ht="25.5">
      <c r="B5" s="38"/>
      <c r="L5" s="141"/>
      <c r="M5" s="141"/>
      <c r="N5" s="141"/>
    </row>
    <row r="37" ht="25.5">
      <c r="B37" s="39" t="s">
        <v>146</v>
      </c>
    </row>
    <row r="69" ht="26.25">
      <c r="B69" s="136" t="s">
        <v>147</v>
      </c>
    </row>
  </sheetData>
  <printOptions/>
  <pageMargins left="0.75" right="0.75" top="1" bottom="1" header="0.492125985" footer="0.492125985"/>
  <pageSetup horizontalDpi="600" verticalDpi="600" orientation="portrait" r:id="rId11"/>
  <drawing r:id="rId10"/>
  <legacyDrawing r:id="rId9"/>
  <oleObjects>
    <oleObject progId="Equation.3" shapeId="562978" r:id="rId1"/>
    <oleObject progId="Equation.3" shapeId="562980" r:id="rId2"/>
    <oleObject progId="Equation.3" shapeId="562981" r:id="rId3"/>
    <oleObject progId="Equation.3" shapeId="562982" r:id="rId4"/>
    <oleObject progId="Equation.3" shapeId="567844" r:id="rId5"/>
    <oleObject progId="Equation.3" shapeId="567845" r:id="rId6"/>
    <oleObject progId="Equation.3" shapeId="567846" r:id="rId7"/>
    <oleObject progId="Equation.3" shapeId="567847" r:id="rId8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18"/>
  <dimension ref="B1:G16"/>
  <sheetViews>
    <sheetView workbookViewId="0" topLeftCell="A1">
      <selection activeCell="E12" sqref="E12"/>
    </sheetView>
  </sheetViews>
  <sheetFormatPr defaultColWidth="9.140625" defaultRowHeight="12.75"/>
  <cols>
    <col min="1" max="1" width="9.140625" style="23" customWidth="1"/>
    <col min="2" max="2" width="2.28125" style="23" customWidth="1"/>
    <col min="3" max="3" width="14.421875" style="23" customWidth="1"/>
    <col min="4" max="4" width="22.00390625" style="23" customWidth="1"/>
    <col min="5" max="16384" width="9.140625" style="23" customWidth="1"/>
  </cols>
  <sheetData>
    <row r="1" spans="5:7" ht="13.5" thickBot="1">
      <c r="E1" s="141"/>
      <c r="F1" s="141"/>
      <c r="G1" s="141"/>
    </row>
    <row r="2" spans="2:7" ht="12.75">
      <c r="B2" s="28"/>
      <c r="C2" s="29"/>
      <c r="D2" s="30"/>
      <c r="E2" s="141"/>
      <c r="F2" s="141"/>
      <c r="G2" s="141"/>
    </row>
    <row r="3" spans="2:7" ht="18.75">
      <c r="B3" s="31"/>
      <c r="C3" s="37" t="s">
        <v>47</v>
      </c>
      <c r="D3" s="33"/>
      <c r="E3" s="141"/>
      <c r="F3" s="141"/>
      <c r="G3" s="141"/>
    </row>
    <row r="4" spans="2:7" ht="12.75">
      <c r="B4" s="31"/>
      <c r="C4" s="32"/>
      <c r="D4" s="33"/>
      <c r="E4" s="141"/>
      <c r="F4" s="141"/>
      <c r="G4" s="141"/>
    </row>
    <row r="5" spans="2:4" ht="12.75">
      <c r="B5" s="31"/>
      <c r="C5" s="32" t="s">
        <v>43</v>
      </c>
      <c r="D5" s="33" t="s">
        <v>44</v>
      </c>
    </row>
    <row r="6" spans="2:4" ht="12.75">
      <c r="B6" s="31"/>
      <c r="C6" s="32" t="s">
        <v>45</v>
      </c>
      <c r="D6" s="33" t="s">
        <v>46</v>
      </c>
    </row>
    <row r="7" spans="2:4" ht="12.75">
      <c r="B7" s="31"/>
      <c r="C7" s="32"/>
      <c r="D7" s="33"/>
    </row>
    <row r="8" spans="2:4" ht="13.5" thickBot="1">
      <c r="B8" s="34"/>
      <c r="C8" s="35"/>
      <c r="D8" s="36"/>
    </row>
    <row r="9" ht="13.5" thickBot="1"/>
    <row r="10" spans="2:4" ht="12.75">
      <c r="B10" s="28"/>
      <c r="C10" s="29"/>
      <c r="D10" s="30"/>
    </row>
    <row r="11" spans="2:4" ht="18.75">
      <c r="B11" s="31"/>
      <c r="C11" s="37" t="s">
        <v>141</v>
      </c>
      <c r="D11" s="33"/>
    </row>
    <row r="12" spans="2:4" ht="12.75">
      <c r="B12" s="31"/>
      <c r="C12" s="32"/>
      <c r="D12" s="33"/>
    </row>
    <row r="13" spans="2:4" ht="12.75">
      <c r="B13" s="31"/>
      <c r="C13" s="32" t="s">
        <v>43</v>
      </c>
      <c r="D13" s="33" t="s">
        <v>142</v>
      </c>
    </row>
    <row r="14" spans="2:4" ht="12.75">
      <c r="B14" s="31"/>
      <c r="C14" s="32"/>
      <c r="D14" s="33"/>
    </row>
    <row r="15" spans="2:4" ht="12.75">
      <c r="B15" s="31"/>
      <c r="C15" s="32"/>
      <c r="D15" s="33"/>
    </row>
    <row r="16" spans="2:4" ht="13.5" thickBot="1">
      <c r="B16" s="34"/>
      <c r="C16" s="35"/>
      <c r="D16" s="36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22"/>
  <dimension ref="B1:Q48"/>
  <sheetViews>
    <sheetView workbookViewId="0" topLeftCell="B1">
      <selection activeCell="B1" sqref="B1"/>
    </sheetView>
  </sheetViews>
  <sheetFormatPr defaultColWidth="9.140625" defaultRowHeight="12.75"/>
  <cols>
    <col min="1" max="16384" width="9.140625" style="23" customWidth="1"/>
  </cols>
  <sheetData>
    <row r="1" spans="10:12" ht="12.75">
      <c r="J1" s="141"/>
      <c r="K1" s="141"/>
      <c r="L1" s="141"/>
    </row>
    <row r="2" spans="2:12" ht="20.25">
      <c r="B2" s="139" t="s">
        <v>149</v>
      </c>
      <c r="J2" s="141"/>
      <c r="K2" s="141"/>
      <c r="L2" s="141"/>
    </row>
    <row r="3" spans="10:12" ht="12.75">
      <c r="J3" s="141"/>
      <c r="K3" s="141"/>
      <c r="L3" s="141"/>
    </row>
    <row r="4" spans="2:17" ht="20.25">
      <c r="B4" s="140" t="s">
        <v>150</v>
      </c>
      <c r="C4" s="140"/>
      <c r="D4" s="140" t="s">
        <v>151</v>
      </c>
      <c r="E4" s="138"/>
      <c r="F4" s="138"/>
      <c r="G4" s="138"/>
      <c r="H4" s="138"/>
      <c r="I4" s="138"/>
      <c r="J4" s="214"/>
      <c r="K4" s="214"/>
      <c r="L4" s="214"/>
      <c r="M4" s="138"/>
      <c r="N4" s="138"/>
      <c r="O4" s="138"/>
      <c r="P4" s="138"/>
      <c r="Q4" s="138"/>
    </row>
    <row r="5" spans="2:4" ht="12.75">
      <c r="B5" s="23" t="s">
        <v>152</v>
      </c>
      <c r="D5" s="23" t="s">
        <v>153</v>
      </c>
    </row>
    <row r="6" spans="2:4" ht="12.75">
      <c r="B6" s="23" t="s">
        <v>154</v>
      </c>
      <c r="D6" s="23" t="s">
        <v>153</v>
      </c>
    </row>
    <row r="7" spans="2:4" ht="12.75">
      <c r="B7" s="23" t="s">
        <v>155</v>
      </c>
      <c r="D7" s="23" t="s">
        <v>156</v>
      </c>
    </row>
    <row r="8" spans="2:4" ht="12.75">
      <c r="B8" s="23" t="s">
        <v>157</v>
      </c>
      <c r="D8" s="23" t="s">
        <v>158</v>
      </c>
    </row>
    <row r="9" spans="2:4" ht="12.75">
      <c r="B9" s="23" t="s">
        <v>159</v>
      </c>
      <c r="D9" s="23" t="s">
        <v>160</v>
      </c>
    </row>
    <row r="10" spans="2:4" ht="12.75">
      <c r="B10" s="23" t="s">
        <v>161</v>
      </c>
      <c r="D10" s="23" t="s">
        <v>162</v>
      </c>
    </row>
    <row r="11" spans="2:4" ht="12.75">
      <c r="B11" s="23" t="s">
        <v>163</v>
      </c>
      <c r="D11" s="23" t="s">
        <v>164</v>
      </c>
    </row>
    <row r="12" spans="2:4" ht="12.75">
      <c r="B12" s="23" t="s">
        <v>165</v>
      </c>
      <c r="D12" s="23" t="s">
        <v>166</v>
      </c>
    </row>
    <row r="13" spans="2:4" ht="12.75">
      <c r="B13" s="23" t="s">
        <v>167</v>
      </c>
      <c r="D13" s="23" t="s">
        <v>168</v>
      </c>
    </row>
    <row r="14" spans="2:4" ht="12.75">
      <c r="B14" s="23" t="s">
        <v>169</v>
      </c>
      <c r="D14" s="23" t="s">
        <v>170</v>
      </c>
    </row>
    <row r="15" spans="2:4" ht="12.75">
      <c r="B15" s="23" t="s">
        <v>171</v>
      </c>
      <c r="D15" s="23" t="s">
        <v>172</v>
      </c>
    </row>
    <row r="16" spans="2:4" ht="12.75">
      <c r="B16" s="23" t="s">
        <v>173</v>
      </c>
      <c r="D16" s="23" t="s">
        <v>174</v>
      </c>
    </row>
    <row r="17" spans="2:4" ht="12.75">
      <c r="B17" s="23" t="s">
        <v>175</v>
      </c>
      <c r="D17" s="23" t="s">
        <v>176</v>
      </c>
    </row>
    <row r="18" spans="2:4" ht="12.75">
      <c r="B18" s="23" t="s">
        <v>177</v>
      </c>
      <c r="D18" s="23" t="s">
        <v>178</v>
      </c>
    </row>
    <row r="19" spans="2:4" ht="12.75">
      <c r="B19" s="23" t="s">
        <v>179</v>
      </c>
      <c r="D19" s="23" t="s">
        <v>180</v>
      </c>
    </row>
    <row r="20" spans="2:4" ht="12.75">
      <c r="B20" s="23" t="s">
        <v>181</v>
      </c>
      <c r="D20" s="23" t="s">
        <v>182</v>
      </c>
    </row>
    <row r="21" spans="2:4" ht="12.75">
      <c r="B21" s="23" t="s">
        <v>183</v>
      </c>
      <c r="D21" s="23" t="s">
        <v>184</v>
      </c>
    </row>
    <row r="22" spans="2:4" ht="12.75">
      <c r="B22" s="23" t="s">
        <v>185</v>
      </c>
      <c r="D22" s="23" t="s">
        <v>184</v>
      </c>
    </row>
    <row r="23" spans="2:4" ht="12.75">
      <c r="B23" s="23" t="s">
        <v>186</v>
      </c>
      <c r="D23" s="23" t="s">
        <v>187</v>
      </c>
    </row>
    <row r="24" spans="2:4" ht="12.75">
      <c r="B24" s="23" t="s">
        <v>188</v>
      </c>
      <c r="D24" s="23" t="s">
        <v>189</v>
      </c>
    </row>
    <row r="25" spans="2:4" ht="12.75">
      <c r="B25" s="23" t="s">
        <v>190</v>
      </c>
      <c r="D25" s="23" t="s">
        <v>191</v>
      </c>
    </row>
    <row r="26" spans="2:4" ht="12.75">
      <c r="B26" s="23" t="s">
        <v>192</v>
      </c>
      <c r="D26" s="23" t="s">
        <v>193</v>
      </c>
    </row>
    <row r="27" spans="2:4" ht="12.75">
      <c r="B27" s="23" t="s">
        <v>194</v>
      </c>
      <c r="D27" s="23" t="s">
        <v>195</v>
      </c>
    </row>
    <row r="28" spans="2:4" ht="12.75">
      <c r="B28" s="23" t="s">
        <v>196</v>
      </c>
      <c r="D28" s="23" t="s">
        <v>197</v>
      </c>
    </row>
    <row r="29" spans="2:4" ht="12.75">
      <c r="B29" s="23" t="s">
        <v>198</v>
      </c>
      <c r="D29" s="23" t="s">
        <v>199</v>
      </c>
    </row>
    <row r="30" spans="2:4" ht="12.75">
      <c r="B30" s="23" t="s">
        <v>200</v>
      </c>
      <c r="D30" s="23" t="s">
        <v>201</v>
      </c>
    </row>
    <row r="31" spans="2:4" ht="12.75">
      <c r="B31" s="23" t="s">
        <v>202</v>
      </c>
      <c r="D31" s="23" t="s">
        <v>203</v>
      </c>
    </row>
    <row r="32" spans="2:4" ht="12.75">
      <c r="B32" s="23" t="s">
        <v>204</v>
      </c>
      <c r="D32" s="23" t="s">
        <v>205</v>
      </c>
    </row>
    <row r="33" spans="2:4" ht="12.75">
      <c r="B33" s="23" t="s">
        <v>206</v>
      </c>
      <c r="D33" s="23" t="s">
        <v>207</v>
      </c>
    </row>
    <row r="34" spans="2:4" ht="12.75">
      <c r="B34" s="23" t="s">
        <v>208</v>
      </c>
      <c r="D34" s="23" t="s">
        <v>209</v>
      </c>
    </row>
    <row r="35" spans="2:4" ht="12.75">
      <c r="B35" s="23" t="s">
        <v>210</v>
      </c>
      <c r="D35" s="23" t="s">
        <v>211</v>
      </c>
    </row>
    <row r="36" spans="2:4" ht="12.75">
      <c r="B36" s="23" t="s">
        <v>212</v>
      </c>
      <c r="D36" s="23" t="s">
        <v>213</v>
      </c>
    </row>
    <row r="37" spans="2:4" ht="12.75">
      <c r="B37" s="23" t="s">
        <v>214</v>
      </c>
      <c r="D37" s="23" t="s">
        <v>215</v>
      </c>
    </row>
    <row r="38" spans="2:4" ht="12.75">
      <c r="B38" s="23" t="s">
        <v>216</v>
      </c>
      <c r="D38" s="23" t="s">
        <v>217</v>
      </c>
    </row>
    <row r="39" spans="2:4" ht="12.75">
      <c r="B39" s="23" t="s">
        <v>218</v>
      </c>
      <c r="D39" s="23" t="s">
        <v>219</v>
      </c>
    </row>
    <row r="40" spans="2:4" ht="12.75">
      <c r="B40" s="23" t="s">
        <v>220</v>
      </c>
      <c r="D40" s="23" t="s">
        <v>221</v>
      </c>
    </row>
    <row r="41" spans="2:4" ht="12.75">
      <c r="B41" s="23" t="s">
        <v>222</v>
      </c>
      <c r="D41" s="23" t="s">
        <v>223</v>
      </c>
    </row>
    <row r="42" spans="2:4" ht="12.75">
      <c r="B42" s="23" t="s">
        <v>224</v>
      </c>
      <c r="D42" s="23" t="s">
        <v>225</v>
      </c>
    </row>
    <row r="43" spans="2:4" ht="12.75">
      <c r="B43" s="23" t="s">
        <v>226</v>
      </c>
      <c r="D43" s="23" t="s">
        <v>227</v>
      </c>
    </row>
    <row r="44" spans="2:4" ht="12.75">
      <c r="B44" s="23" t="s">
        <v>228</v>
      </c>
      <c r="D44" s="23" t="s">
        <v>229</v>
      </c>
    </row>
    <row r="45" spans="2:4" ht="12.75">
      <c r="B45" s="23" t="s">
        <v>230</v>
      </c>
      <c r="D45" s="23" t="s">
        <v>231</v>
      </c>
    </row>
    <row r="46" spans="2:4" ht="12.75">
      <c r="B46" s="23" t="s">
        <v>232</v>
      </c>
      <c r="D46" s="23" t="s">
        <v>233</v>
      </c>
    </row>
    <row r="47" spans="2:4" ht="12.75">
      <c r="B47" s="23" t="s">
        <v>234</v>
      </c>
      <c r="D47" s="23" t="s">
        <v>235</v>
      </c>
    </row>
    <row r="48" spans="2:4" ht="12.75">
      <c r="B48" s="23" t="s">
        <v>236</v>
      </c>
      <c r="D48" s="23" t="s">
        <v>237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C1:I12"/>
  <sheetViews>
    <sheetView workbookViewId="0" topLeftCell="B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9.140625" style="1" customWidth="1"/>
    <col min="9" max="16384" width="9.140625" style="1" customWidth="1"/>
  </cols>
  <sheetData>
    <row r="1" spans="3:8" ht="20.25">
      <c r="C1" s="277" t="s">
        <v>32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49">
        <v>100</v>
      </c>
      <c r="D3" s="150">
        <v>5</v>
      </c>
      <c r="E3" s="151">
        <v>0.1</v>
      </c>
      <c r="F3" s="9"/>
      <c r="G3" s="152" t="s">
        <v>6</v>
      </c>
      <c r="H3" s="9"/>
    </row>
    <row r="5" spans="3:8" ht="20.25">
      <c r="C5" s="10" t="s">
        <v>16</v>
      </c>
      <c r="D5" s="10"/>
      <c r="E5" s="10"/>
      <c r="F5" s="10"/>
      <c r="G5" s="10"/>
      <c r="H5" s="11">
        <f>-C3*(1+E3*D3)</f>
        <v>-150</v>
      </c>
    </row>
    <row r="6" spans="3:8" ht="20.25">
      <c r="C6" s="12"/>
      <c r="D6" s="12"/>
      <c r="E6" s="12"/>
      <c r="F6" s="12"/>
      <c r="G6" s="12"/>
      <c r="H6" s="13" t="s">
        <v>99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/>
  <dimension ref="C1:I12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6.7109375" style="1" customWidth="1"/>
    <col min="9" max="16384" width="9.140625" style="1" customWidth="1"/>
  </cols>
  <sheetData>
    <row r="1" spans="3:8" ht="20.25">
      <c r="C1" s="277" t="s">
        <v>32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52" t="s">
        <v>6</v>
      </c>
      <c r="D3" s="150">
        <v>5</v>
      </c>
      <c r="E3" s="151">
        <v>0.1</v>
      </c>
      <c r="F3" s="9"/>
      <c r="G3" s="154">
        <v>200</v>
      </c>
      <c r="H3" s="9"/>
    </row>
    <row r="5" spans="3:8" ht="20.25">
      <c r="C5" s="10" t="s">
        <v>19</v>
      </c>
      <c r="D5" s="10"/>
      <c r="E5" s="10"/>
      <c r="F5" s="10"/>
      <c r="G5" s="10"/>
      <c r="H5" s="11">
        <f>-G3/(1+E3*D3)</f>
        <v>-133.33333333333334</v>
      </c>
    </row>
    <row r="6" spans="3:8" ht="20.25">
      <c r="C6" s="12"/>
      <c r="D6" s="12"/>
      <c r="E6" s="12"/>
      <c r="F6" s="12"/>
      <c r="G6" s="12"/>
      <c r="H6" s="13" t="s">
        <v>98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C1:I12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8" width="15.00390625" style="1" customWidth="1"/>
    <col min="9" max="16384" width="9.140625" style="1" customWidth="1"/>
  </cols>
  <sheetData>
    <row r="1" spans="3:8" ht="20.25">
      <c r="C1" s="277" t="s">
        <v>32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54">
        <v>100</v>
      </c>
      <c r="D3" s="152" t="s">
        <v>6</v>
      </c>
      <c r="E3" s="151">
        <v>0.1</v>
      </c>
      <c r="F3" s="9"/>
      <c r="G3" s="154">
        <v>-120</v>
      </c>
      <c r="H3" s="9"/>
    </row>
    <row r="5" spans="3:8" ht="20.25">
      <c r="C5" s="10" t="s">
        <v>20</v>
      </c>
      <c r="D5" s="10"/>
      <c r="E5" s="10"/>
      <c r="F5" s="10"/>
      <c r="G5" s="10"/>
      <c r="H5" s="16">
        <f>((-G3/C3)-1)/E3</f>
        <v>1.9999999999999996</v>
      </c>
    </row>
    <row r="6" spans="3:8" ht="20.25">
      <c r="C6" s="12"/>
      <c r="D6" s="12"/>
      <c r="E6" s="12"/>
      <c r="F6" s="12"/>
      <c r="G6" s="12"/>
      <c r="H6" s="13" t="s">
        <v>97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7"/>
  <dimension ref="C1:I12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8" width="15.00390625" style="1" customWidth="1"/>
    <col min="9" max="16384" width="9.140625" style="1" customWidth="1"/>
  </cols>
  <sheetData>
    <row r="1" spans="3:8" ht="20.25">
      <c r="C1" s="277" t="s">
        <v>32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54">
        <v>-40</v>
      </c>
      <c r="D3" s="150">
        <v>2</v>
      </c>
      <c r="E3" s="152" t="s">
        <v>6</v>
      </c>
      <c r="F3" s="9"/>
      <c r="G3" s="154">
        <v>60</v>
      </c>
      <c r="H3" s="9"/>
    </row>
    <row r="5" spans="3:8" ht="20.25">
      <c r="C5" s="10" t="s">
        <v>21</v>
      </c>
      <c r="D5" s="10"/>
      <c r="E5" s="10"/>
      <c r="F5" s="10"/>
      <c r="G5" s="10"/>
      <c r="H5" s="21">
        <f>((-G3/C3)-1)/D3</f>
        <v>0.25</v>
      </c>
    </row>
    <row r="6" spans="3:8" ht="20.25">
      <c r="C6" s="12"/>
      <c r="D6" s="12"/>
      <c r="E6" s="12"/>
      <c r="F6" s="12"/>
      <c r="G6" s="12"/>
      <c r="H6" s="13" t="s">
        <v>100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horizontalDpi="120" verticalDpi="12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1"/>
  <dimension ref="C1:I12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9.140625" style="1" customWidth="1"/>
    <col min="9" max="16384" width="9.140625" style="1" customWidth="1"/>
  </cols>
  <sheetData>
    <row r="1" spans="3:8" ht="20.25">
      <c r="C1" s="277" t="s">
        <v>49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49">
        <v>100</v>
      </c>
      <c r="D3" s="150">
        <v>5</v>
      </c>
      <c r="E3" s="151">
        <v>0.1</v>
      </c>
      <c r="F3" s="9"/>
      <c r="G3" s="152" t="s">
        <v>6</v>
      </c>
      <c r="H3" s="9"/>
    </row>
    <row r="5" spans="3:8" ht="20.25">
      <c r="C5" s="10" t="s">
        <v>16</v>
      </c>
      <c r="D5" s="10"/>
      <c r="E5" s="10"/>
      <c r="F5" s="10"/>
      <c r="G5" s="10"/>
      <c r="H5" s="11">
        <f>-C3/((1-E3*D3))</f>
        <v>-200</v>
      </c>
    </row>
    <row r="6" spans="3:8" ht="20.25">
      <c r="C6" s="12"/>
      <c r="D6" s="12"/>
      <c r="E6" s="12"/>
      <c r="F6" s="12"/>
      <c r="G6" s="12"/>
      <c r="H6" s="13" t="s">
        <v>48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411"/>
  <dimension ref="C1:I12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9.140625" style="1" customWidth="1"/>
    <col min="9" max="16384" width="9.140625" style="1" customWidth="1"/>
  </cols>
  <sheetData>
    <row r="1" spans="3:8" ht="20.25">
      <c r="C1" s="277" t="s">
        <v>49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52" t="s">
        <v>6</v>
      </c>
      <c r="D3" s="150">
        <v>5</v>
      </c>
      <c r="E3" s="151">
        <v>0.03</v>
      </c>
      <c r="F3" s="9"/>
      <c r="G3" s="154">
        <v>500</v>
      </c>
      <c r="H3" s="9"/>
    </row>
    <row r="5" spans="3:8" ht="20.25">
      <c r="C5" s="10" t="s">
        <v>19</v>
      </c>
      <c r="D5" s="10"/>
      <c r="E5" s="10"/>
      <c r="F5" s="10"/>
      <c r="G5" s="10"/>
      <c r="H5" s="11">
        <f>-G3*(1-D3*E3)</f>
        <v>-425</v>
      </c>
    </row>
    <row r="6" spans="3:8" ht="20.25">
      <c r="C6" s="12"/>
      <c r="D6" s="12"/>
      <c r="E6" s="12"/>
      <c r="F6" s="12"/>
      <c r="G6" s="12"/>
      <c r="H6" s="13" t="s">
        <v>50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111"/>
  <dimension ref="C1:I12"/>
  <sheetViews>
    <sheetView workbookViewId="0" topLeftCell="C1">
      <selection activeCell="C1" sqref="C1:H1"/>
    </sheetView>
  </sheetViews>
  <sheetFormatPr defaultColWidth="9.140625" defaultRowHeight="12.75"/>
  <cols>
    <col min="1" max="2" width="9.140625" style="1" customWidth="1"/>
    <col min="3" max="7" width="15.00390625" style="1" customWidth="1"/>
    <col min="8" max="8" width="19.140625" style="1" customWidth="1"/>
    <col min="9" max="16384" width="9.140625" style="1" customWidth="1"/>
  </cols>
  <sheetData>
    <row r="1" spans="3:8" ht="20.25">
      <c r="C1" s="277" t="s">
        <v>49</v>
      </c>
      <c r="D1" s="277"/>
      <c r="E1" s="277"/>
      <c r="F1" s="277"/>
      <c r="G1" s="277"/>
      <c r="H1" s="277"/>
    </row>
    <row r="2" spans="3:8" ht="20.25">
      <c r="C2" s="7" t="s">
        <v>13</v>
      </c>
      <c r="D2" s="7" t="s">
        <v>0</v>
      </c>
      <c r="E2" s="7" t="s">
        <v>1</v>
      </c>
      <c r="F2" s="8" t="s">
        <v>3</v>
      </c>
      <c r="G2" s="7" t="s">
        <v>14</v>
      </c>
      <c r="H2" s="8" t="s">
        <v>15</v>
      </c>
    </row>
    <row r="3" spans="3:8" ht="20.25">
      <c r="C3" s="154">
        <v>-100</v>
      </c>
      <c r="D3" s="152" t="s">
        <v>6</v>
      </c>
      <c r="E3" s="151">
        <v>0.03</v>
      </c>
      <c r="F3" s="9"/>
      <c r="G3" s="154">
        <v>500</v>
      </c>
      <c r="H3" s="9"/>
    </row>
    <row r="5" spans="3:8" ht="20.25">
      <c r="C5" s="10" t="s">
        <v>51</v>
      </c>
      <c r="D5" s="10"/>
      <c r="E5" s="10"/>
      <c r="F5" s="10"/>
      <c r="G5" s="10"/>
      <c r="H5" s="40">
        <f>(1-(-C3/G3))/E3</f>
        <v>26.666666666666668</v>
      </c>
    </row>
    <row r="6" spans="3:8" ht="20.25">
      <c r="C6" s="12"/>
      <c r="D6" s="12"/>
      <c r="E6" s="12"/>
      <c r="F6" s="12"/>
      <c r="G6" s="12"/>
      <c r="H6" s="13" t="s">
        <v>52</v>
      </c>
    </row>
    <row r="8" ht="20.25">
      <c r="C8" s="15" t="s">
        <v>17</v>
      </c>
    </row>
    <row r="9" spans="3:4" ht="20.25">
      <c r="C9" s="9"/>
      <c r="D9" s="14" t="s">
        <v>18</v>
      </c>
    </row>
    <row r="10" spans="7:9" ht="20.25">
      <c r="G10" s="153"/>
      <c r="H10" s="153"/>
      <c r="I10" s="153"/>
    </row>
    <row r="11" spans="7:9" ht="20.25">
      <c r="G11" s="153"/>
      <c r="H11" s="153"/>
      <c r="I11" s="153"/>
    </row>
    <row r="12" spans="7:9" ht="20.25">
      <c r="G12" s="153"/>
      <c r="H12" s="153"/>
      <c r="I12" s="153"/>
    </row>
  </sheetData>
  <mergeCells count="1">
    <mergeCell ref="C1:H1"/>
  </mergeCells>
  <printOptions/>
  <pageMargins left="0.75" right="0.75" top="1" bottom="1" header="0.492125985" footer="0.49212598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Adriano Leal Bruni e Rubens Famá</Manager>
  <Company>Albruni Consultoria e Treinamento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MATFIN - Cálculos financeiros no Excel</dc:title>
  <dc:subject>Matemática Financeira</dc:subject>
  <dc:creator>Adriano Leal Bruni e Rubens Famá</dc:creator>
  <cp:keywords>Matemática Financeira</cp:keywords>
  <dc:description/>
  <cp:lastModifiedBy>adriano</cp:lastModifiedBy>
  <dcterms:created xsi:type="dcterms:W3CDTF">1999-12-13T17:45:43Z</dcterms:created>
  <dcterms:modified xsi:type="dcterms:W3CDTF">2003-09-16T16:40:21Z</dcterms:modified>
  <cp:category>Finanças</cp:category>
  <cp:version/>
  <cp:contentType/>
  <cp:contentStatus/>
</cp:coreProperties>
</file>